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tmp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rojects\2013\W-13-072 FRA-70-13.10 6A\89464\structures\wall_0E7_6A\spreadsheets\"/>
    </mc:Choice>
  </mc:AlternateContent>
  <bookViews>
    <workbookView xWindow="0" yWindow="0" windowWidth="28800" windowHeight="11850" activeTab="3"/>
  </bookViews>
  <sheets>
    <sheet name="AUTOTABLE" sheetId="10" r:id="rId1"/>
    <sheet name="Quants" sheetId="3" r:id="rId2"/>
    <sheet name="VOID" sheetId="4" r:id="rId3"/>
    <sheet name="E7" sheetId="9" r:id="rId4"/>
  </sheets>
  <externalReferences>
    <externalReference r:id="rId5"/>
    <externalReference r:id="rId6"/>
    <externalReference r:id="rId7"/>
  </externalReferences>
  <definedNames>
    <definedName name="_xlnm.Print_Area" localSheetId="3">'E7'!#REF!</definedName>
  </definedNames>
  <calcPr calcId="162913"/>
</workbook>
</file>

<file path=xl/calcChain.xml><?xml version="1.0" encoding="utf-8"?>
<calcChain xmlns="http://schemas.openxmlformats.org/spreadsheetml/2006/main">
  <c r="D20" i="9" l="1"/>
  <c r="A38" i="10" l="1"/>
  <c r="B38" i="10"/>
  <c r="D38" i="10"/>
  <c r="E38" i="10"/>
  <c r="A39" i="10"/>
  <c r="B39" i="10"/>
  <c r="D39" i="10"/>
  <c r="E39" i="10"/>
  <c r="A40" i="10"/>
  <c r="B40" i="10"/>
  <c r="D40" i="10"/>
  <c r="E40" i="10"/>
  <c r="A41" i="10"/>
  <c r="B41" i="10"/>
  <c r="D41" i="10"/>
  <c r="E41" i="10"/>
  <c r="B37" i="10"/>
  <c r="D37" i="10"/>
  <c r="E37" i="10"/>
  <c r="A37" i="10"/>
  <c r="A6" i="10"/>
  <c r="B6" i="10"/>
  <c r="D6" i="10"/>
  <c r="E6" i="10"/>
  <c r="A7" i="10"/>
  <c r="B7" i="10"/>
  <c r="D7" i="10"/>
  <c r="E7" i="10"/>
  <c r="A8" i="10"/>
  <c r="B8" i="10"/>
  <c r="D8" i="10"/>
  <c r="E8" i="10"/>
  <c r="A9" i="10"/>
  <c r="B9" i="10"/>
  <c r="D9" i="10"/>
  <c r="E9" i="10"/>
  <c r="A11" i="10"/>
  <c r="B11" i="10"/>
  <c r="D11" i="10"/>
  <c r="E11" i="10"/>
  <c r="A12" i="10"/>
  <c r="B12" i="10"/>
  <c r="C12" i="10"/>
  <c r="D12" i="10"/>
  <c r="E12" i="10"/>
  <c r="A13" i="10"/>
  <c r="B13" i="10"/>
  <c r="D13" i="10"/>
  <c r="E13" i="10"/>
  <c r="B15" i="10"/>
  <c r="E15" i="10"/>
  <c r="A16" i="10"/>
  <c r="B16" i="10"/>
  <c r="D16" i="10"/>
  <c r="E16" i="10"/>
  <c r="A17" i="10"/>
  <c r="B17" i="10"/>
  <c r="D17" i="10"/>
  <c r="E17" i="10"/>
  <c r="A19" i="10"/>
  <c r="B19" i="10"/>
  <c r="D19" i="10"/>
  <c r="E19" i="10"/>
  <c r="A20" i="10"/>
  <c r="B20" i="10"/>
  <c r="D20" i="10"/>
  <c r="E20" i="10"/>
  <c r="A21" i="10"/>
  <c r="B21" i="10"/>
  <c r="D21" i="10"/>
  <c r="E21" i="10"/>
  <c r="A22" i="10"/>
  <c r="B22" i="10"/>
  <c r="D22" i="10"/>
  <c r="E22" i="10"/>
  <c r="A24" i="10"/>
  <c r="B24" i="10"/>
  <c r="D24" i="10"/>
  <c r="E24" i="10"/>
  <c r="A25" i="10"/>
  <c r="B25" i="10"/>
  <c r="D25" i="10"/>
  <c r="E25" i="10"/>
  <c r="A26" i="10"/>
  <c r="B26" i="10"/>
  <c r="C26" i="10"/>
  <c r="D26" i="10"/>
  <c r="E26" i="10"/>
  <c r="A27" i="10"/>
  <c r="B27" i="10"/>
  <c r="C27" i="10"/>
  <c r="D27" i="10"/>
  <c r="E27" i="10"/>
  <c r="B5" i="10"/>
  <c r="D5" i="10"/>
  <c r="E5" i="10"/>
  <c r="A5" i="10"/>
  <c r="C39" i="9" l="1"/>
  <c r="C40" i="9" s="1"/>
  <c r="C34" i="9" l="1"/>
  <c r="C37" i="9" s="1"/>
  <c r="C42" i="9" s="1"/>
  <c r="C214" i="9"/>
  <c r="C150" i="9"/>
  <c r="C151" i="9" s="1"/>
  <c r="C141" i="9"/>
  <c r="C142" i="9" s="1"/>
  <c r="C235" i="9"/>
  <c r="C228" i="9"/>
  <c r="C171" i="9"/>
  <c r="C172" i="9" s="1"/>
  <c r="C168" i="9" s="1"/>
  <c r="C155" i="9"/>
  <c r="C209" i="9"/>
  <c r="C164" i="9"/>
  <c r="C166" i="9" s="1"/>
  <c r="C153" i="9" l="1"/>
  <c r="C64" i="9"/>
  <c r="D5" i="9"/>
  <c r="C5" i="10" s="1"/>
  <c r="D6" i="9" l="1"/>
  <c r="C6" i="10" s="1"/>
  <c r="C48" i="9" l="1"/>
  <c r="C51" i="9"/>
  <c r="C54" i="9"/>
  <c r="C56" i="9"/>
  <c r="C57" i="9" s="1"/>
  <c r="C125" i="3"/>
  <c r="C127" i="3" s="1"/>
  <c r="C123" i="3" s="1"/>
  <c r="D39" i="3" s="1"/>
  <c r="C41" i="10" s="1"/>
  <c r="C221" i="9" l="1"/>
  <c r="C85" i="9"/>
  <c r="C82" i="9"/>
  <c r="C79" i="9"/>
  <c r="C76" i="9"/>
  <c r="C54" i="3"/>
  <c r="C97" i="3"/>
  <c r="C100" i="3" s="1"/>
  <c r="C101" i="3" s="1"/>
  <c r="C94" i="3"/>
  <c r="C98" i="3"/>
  <c r="C95" i="3"/>
  <c r="C91" i="3"/>
  <c r="C85" i="3"/>
  <c r="C88" i="3"/>
  <c r="C87" i="3"/>
  <c r="C84" i="3"/>
  <c r="C81" i="3"/>
  <c r="C83" i="3" s="1"/>
  <c r="C111" i="3"/>
  <c r="C113" i="3" s="1"/>
  <c r="C108" i="3"/>
  <c r="C110" i="3" s="1"/>
  <c r="C116" i="3"/>
  <c r="C74" i="3"/>
  <c r="C71" i="3"/>
  <c r="C68" i="3"/>
  <c r="C65" i="3"/>
  <c r="C76" i="3" s="1"/>
  <c r="C87" i="9" l="1"/>
  <c r="C72" i="9" s="1"/>
  <c r="C59" i="9"/>
  <c r="C44" i="9" s="1"/>
  <c r="C86" i="3"/>
  <c r="C89" i="3"/>
  <c r="C61" i="3"/>
  <c r="C46" i="3" l="1"/>
  <c r="C49" i="3"/>
  <c r="C52" i="3"/>
  <c r="C90" i="3"/>
  <c r="C57" i="3" l="1"/>
  <c r="C92" i="3"/>
  <c r="C117" i="3"/>
  <c r="C119" i="3" s="1"/>
  <c r="C121" i="3" s="1"/>
  <c r="C106" i="3" s="1"/>
  <c r="C55" i="3"/>
  <c r="D36" i="3"/>
  <c r="C38" i="10" s="1"/>
  <c r="D38" i="3"/>
  <c r="C40" i="10" s="1"/>
  <c r="C42" i="3" l="1"/>
  <c r="D37" i="3" s="1"/>
  <c r="C39" i="10" s="1"/>
  <c r="C103" i="3"/>
  <c r="C79" i="3" s="1"/>
  <c r="D35" i="3" s="1"/>
  <c r="C37" i="10" s="1"/>
  <c r="C177" i="9"/>
  <c r="C66" i="9" l="1"/>
  <c r="C62" i="9" s="1"/>
  <c r="C223" i="9"/>
  <c r="C219" i="9" s="1"/>
  <c r="C192" i="9"/>
  <c r="C194" i="9" s="1"/>
  <c r="C189" i="9"/>
  <c r="C191" i="9" s="1"/>
  <c r="C186" i="9"/>
  <c r="C188" i="9" s="1"/>
  <c r="C183" i="9"/>
  <c r="C185" i="9" s="1"/>
  <c r="C180" i="9"/>
  <c r="C182" i="9" s="1"/>
  <c r="C179" i="9"/>
  <c r="D9" i="9" l="1"/>
  <c r="C9" i="10" s="1"/>
  <c r="C30" i="9"/>
  <c r="D7" i="9" s="1"/>
  <c r="C7" i="10" s="1"/>
  <c r="C160" i="9"/>
  <c r="C196" i="9"/>
  <c r="C175" i="9" s="1"/>
  <c r="D22" i="9" s="1"/>
  <c r="C22" i="10" s="1"/>
  <c r="C238" i="9"/>
  <c r="C233" i="9" s="1"/>
  <c r="D17" i="9" s="1"/>
  <c r="C17" i="10" s="1"/>
  <c r="C231" i="9"/>
  <c r="C226" i="9" s="1"/>
  <c r="D16" i="9" s="1"/>
  <c r="C16" i="10" s="1"/>
  <c r="C203" i="9"/>
  <c r="D24" i="9"/>
  <c r="C24" i="10" s="1"/>
  <c r="D13" i="9" l="1"/>
  <c r="C13" i="10" s="1"/>
  <c r="C20" i="10"/>
  <c r="D8" i="9"/>
  <c r="C8" i="10" s="1"/>
  <c r="A8" i="9"/>
  <c r="C134" i="9"/>
  <c r="D15" i="9" s="1"/>
  <c r="C15" i="10" s="1"/>
  <c r="A13" i="3" l="1"/>
  <c r="B13" i="3"/>
  <c r="C13" i="3"/>
  <c r="E13" i="3"/>
  <c r="F13" i="3"/>
  <c r="D13" i="3" l="1"/>
  <c r="A15" i="3" l="1"/>
  <c r="D15" i="3" s="1"/>
  <c r="A13" i="9"/>
  <c r="D14" i="3"/>
  <c r="B17" i="3"/>
  <c r="A6" i="3"/>
  <c r="D6" i="3" s="1"/>
  <c r="A16" i="3"/>
  <c r="D16" i="3" s="1"/>
  <c r="A18" i="3"/>
  <c r="D18" i="3" s="1"/>
  <c r="A9" i="9"/>
  <c r="C198" i="9"/>
  <c r="D21" i="9"/>
  <c r="C21" i="10" s="1"/>
  <c r="C68" i="9"/>
  <c r="E15" i="9"/>
  <c r="D15" i="10" s="1"/>
  <c r="B15" i="9"/>
  <c r="A15" i="10" s="1"/>
  <c r="F14" i="3"/>
  <c r="B27" i="3"/>
  <c r="C27" i="3"/>
  <c r="D27" i="3"/>
  <c r="E27" i="3"/>
  <c r="F27" i="3"/>
  <c r="G27" i="3"/>
  <c r="E17" i="3"/>
  <c r="B21" i="4"/>
  <c r="B20" i="4"/>
  <c r="B14" i="4"/>
  <c r="B13" i="4"/>
  <c r="C21" i="4"/>
  <c r="C20" i="4"/>
  <c r="C14" i="4"/>
  <c r="C13" i="4"/>
  <c r="D21" i="4"/>
  <c r="D14" i="4"/>
  <c r="G14" i="4" s="1"/>
  <c r="D13" i="4"/>
  <c r="D18" i="4"/>
  <c r="G18" i="4" s="1"/>
  <c r="D20" i="4"/>
  <c r="D19" i="4"/>
  <c r="G19" i="4" s="1"/>
  <c r="D17" i="4"/>
  <c r="G17" i="4" s="1"/>
  <c r="D16" i="4"/>
  <c r="G16" i="4" s="1"/>
  <c r="D15" i="4"/>
  <c r="G15" i="4" s="1"/>
  <c r="D12" i="4"/>
  <c r="D10" i="4"/>
  <c r="D9" i="4"/>
  <c r="D8" i="4"/>
  <c r="D7" i="4"/>
  <c r="D6" i="4"/>
  <c r="D5" i="4"/>
  <c r="D4" i="4"/>
  <c r="D3" i="4"/>
  <c r="D2" i="4"/>
  <c r="C12" i="4"/>
  <c r="C10" i="4"/>
  <c r="C9" i="4"/>
  <c r="C8" i="4"/>
  <c r="C7" i="4"/>
  <c r="C6" i="4"/>
  <c r="C5" i="4"/>
  <c r="C4" i="4"/>
  <c r="C3" i="4"/>
  <c r="C2" i="4"/>
  <c r="B11" i="4"/>
  <c r="G11" i="4" s="1"/>
  <c r="B10" i="4"/>
  <c r="B9" i="4"/>
  <c r="B8" i="4"/>
  <c r="B7" i="4"/>
  <c r="B6" i="4"/>
  <c r="B5" i="4"/>
  <c r="B4" i="4"/>
  <c r="B3" i="4"/>
  <c r="B2" i="4"/>
  <c r="D19" i="9" l="1"/>
  <c r="C19" i="10" s="1"/>
  <c r="C14" i="3"/>
  <c r="E14" i="3"/>
  <c r="A5" i="9"/>
  <c r="A22" i="3"/>
  <c r="D22" i="3" s="1"/>
  <c r="A22" i="9"/>
  <c r="A24" i="3"/>
  <c r="D24" i="3" s="1"/>
  <c r="A24" i="9"/>
  <c r="A11" i="9"/>
  <c r="D11" i="9" s="1"/>
  <c r="C11" i="10" s="1"/>
  <c r="A23" i="3"/>
  <c r="D23" i="3" s="1"/>
  <c r="A7" i="3"/>
  <c r="D7" i="3" s="1"/>
  <c r="A17" i="3"/>
  <c r="D17" i="3" s="1"/>
  <c r="A15" i="9"/>
  <c r="A19" i="9"/>
  <c r="A8" i="3"/>
  <c r="D8" i="3" s="1"/>
  <c r="A9" i="3"/>
  <c r="D9" i="3" s="1"/>
  <c r="G12" i="4"/>
  <c r="G5" i="4"/>
  <c r="G8" i="4"/>
  <c r="G13" i="4"/>
  <c r="G6" i="4"/>
  <c r="G4" i="4"/>
  <c r="G10" i="4"/>
  <c r="A14" i="3"/>
  <c r="B14" i="3"/>
  <c r="G20" i="4"/>
  <c r="G9" i="4"/>
  <c r="G7" i="4"/>
  <c r="G21" i="4"/>
  <c r="G3" i="4"/>
  <c r="D25" i="9" l="1"/>
  <c r="A20" i="3"/>
  <c r="D20" i="3" s="1"/>
  <c r="A25" i="9"/>
  <c r="A11" i="3"/>
  <c r="D11" i="3" s="1"/>
  <c r="A21" i="3"/>
  <c r="D21" i="3" s="1"/>
  <c r="A20" i="9"/>
  <c r="A26" i="3" l="1"/>
  <c r="D26" i="3" s="1"/>
  <c r="C25" i="10"/>
</calcChain>
</file>

<file path=xl/comments1.xml><?xml version="1.0" encoding="utf-8"?>
<comments xmlns="http://schemas.openxmlformats.org/spreadsheetml/2006/main">
  <authors>
    <author>Meet Shah</author>
  </authors>
  <commentList>
    <comment ref="F62" authorId="0" shapeId="0">
      <text>
        <r>
          <rPr>
            <b/>
            <sz val="9"/>
            <color indexed="81"/>
            <rFont val="Tahoma"/>
            <family val="2"/>
          </rPr>
          <t>Meet Shah:</t>
        </r>
        <r>
          <rPr>
            <sz val="9"/>
            <color indexed="81"/>
            <rFont val="Tahoma"/>
            <family val="2"/>
          </rPr>
          <t xml:space="preserve">
Paid for under Item 840 - Foundation Preparation</t>
        </r>
      </text>
    </comment>
  </commentList>
</comments>
</file>

<file path=xl/sharedStrings.xml><?xml version="1.0" encoding="utf-8"?>
<sst xmlns="http://schemas.openxmlformats.org/spreadsheetml/2006/main" count="712" uniqueCount="176">
  <si>
    <t>ITEM</t>
  </si>
  <si>
    <t>TOTAL</t>
  </si>
  <si>
    <t>UNIT</t>
  </si>
  <si>
    <t>DESCRIPTION</t>
  </si>
  <si>
    <t>ITEM EXT.</t>
  </si>
  <si>
    <t>APP SHT</t>
  </si>
  <si>
    <t>CU YD</t>
  </si>
  <si>
    <t>SPECIAL</t>
  </si>
  <si>
    <t>LUMP</t>
  </si>
  <si>
    <t>SQ YD</t>
  </si>
  <si>
    <t>FT</t>
  </si>
  <si>
    <t>SQ FT</t>
  </si>
  <si>
    <t>UNCLASSIFIED EXCAVATION, AS PER PLAN</t>
  </si>
  <si>
    <t>00400</t>
  </si>
  <si>
    <t>STEEL PILES, MISC.: SOLDIER PILES</t>
  </si>
  <si>
    <t>10000</t>
  </si>
  <si>
    <t>LB</t>
  </si>
  <si>
    <t>EPOXY COATED REINFORCING STEEL</t>
  </si>
  <si>
    <t>10001</t>
  </si>
  <si>
    <t>SEALING OF CONCRETE SURFACES (PERMANENT GRAFFITI PROTECTION), AS PER PLAN</t>
  </si>
  <si>
    <t>10101</t>
  </si>
  <si>
    <t>SEALING OF CONCRETE SURFACES (EPOXY URETHANE), AS PER PLAN</t>
  </si>
  <si>
    <t>33001</t>
  </si>
  <si>
    <t>TYPE 2 WATERPROOFING, AS PER PLAN</t>
  </si>
  <si>
    <t>13600</t>
  </si>
  <si>
    <t>1" PREFORMED EXPANSION JOINT FILLER</t>
  </si>
  <si>
    <t>40010</t>
  </si>
  <si>
    <t>6" CONDUIT, TYPE C</t>
  </si>
  <si>
    <t>SPECIAL - RETAINING WALL, MISC.: TEMPORARY HARDWOOD LAGGING</t>
  </si>
  <si>
    <t>ESTIMATED QUANTITIES</t>
  </si>
  <si>
    <t>AS PER PLAN REFERENCE SHEET</t>
  </si>
  <si>
    <t>WALL DETAIL SHEET</t>
  </si>
  <si>
    <t>REINFORCING SCHEDULE</t>
  </si>
  <si>
    <t>MEASURE AREA</t>
  </si>
  <si>
    <t>MEASURE LENGTH</t>
  </si>
  <si>
    <t>CALC</t>
  </si>
  <si>
    <t>CLASS QC1 CONCRETE, AS PER PLAN</t>
  </si>
  <si>
    <t>EACH</t>
  </si>
  <si>
    <t>RETAINING WALL, MISC.: TIEBACKS, AS PER PLAN</t>
  </si>
  <si>
    <t>RETAINING WALL, MISC.: FAILURE TESTS</t>
  </si>
  <si>
    <t>RETAINING WALL, MISC.: CREEP TESTS</t>
  </si>
  <si>
    <t>RETAINING WALL, MISC.: PERFORMANCE TESTS</t>
  </si>
  <si>
    <t>RETAINING WALL, MISC.: PROOF TESTS</t>
  </si>
  <si>
    <t>RETAINING WALL, MISC.: PREFABRICATED GEOCOMPOSITE DRAIN</t>
  </si>
  <si>
    <t>XX</t>
  </si>
  <si>
    <t>610E50000</t>
  </si>
  <si>
    <t>610E50010</t>
  </si>
  <si>
    <t>94503</t>
  </si>
  <si>
    <t>DRILLED SHAFTS, 24" DIAMETER ABOVE BEDROCK, AS PER PLAN</t>
  </si>
  <si>
    <t>46011</t>
  </si>
  <si>
    <t>WALL S</t>
  </si>
  <si>
    <t>WALL U</t>
  </si>
  <si>
    <t>WALL V</t>
  </si>
  <si>
    <t>WALL D</t>
  </si>
  <si>
    <t>DRILLED SHAFTS, 30" DIAMETER ABOVE BEDROCK, AS PER PLAN</t>
  </si>
  <si>
    <t>EMHT</t>
  </si>
  <si>
    <t>*THE INDIVIDUAL WALL QUANTITIES ARE STILL IN THEIR ORIGINAL SPREADSHEETS. THIS SPREADSHEET REFERENCES THE ORIGINALS IN EACH WALL FOLDER. MAKE QUANTITY CHANGES TO THE INDIVIDUAL SPREADSHEETS.</t>
  </si>
  <si>
    <t>PAVED GUTTER, TYPE 1-2, AS PER PLAN</t>
  </si>
  <si>
    <t>X</t>
  </si>
  <si>
    <t>4" NON-PERFORATED CORRUGATED PLASTIC PIPE, INCLUDING SPECIALS</t>
  </si>
  <si>
    <t>MEASURE LENGTH (USE AVG. 6' PER DRAIN)</t>
  </si>
  <si>
    <t>WALL E7</t>
  </si>
  <si>
    <t>EMBANKMENT</t>
  </si>
  <si>
    <t>GRANULAR MATERIAL, TYPE B</t>
  </si>
  <si>
    <t>GRANULAR MATERIAL, TYPE C</t>
  </si>
  <si>
    <t>SPECIAL - SETTLEMENT PLATFORM</t>
  </si>
  <si>
    <t>RAILING, CONCRETE, AS PER PLAN</t>
  </si>
  <si>
    <t>MECHANICALLY STABILIZED EARTH WALL, AS PER PLAN</t>
  </si>
  <si>
    <t>WALL EXCAVATION</t>
  </si>
  <si>
    <t>FOUNDATION PREPARATION</t>
  </si>
  <si>
    <t>SELECT GRANULAR BACKFILL</t>
  </si>
  <si>
    <t>6" DRAINAGE PIPE, PERFORATED</t>
  </si>
  <si>
    <t>6" DRAINAGE PIPE, NON-PERFORATED</t>
  </si>
  <si>
    <t>CONCRETE COPING</t>
  </si>
  <si>
    <t>DAY</t>
  </si>
  <si>
    <t>ON-SITE ASSISTANCE</t>
  </si>
  <si>
    <t>LS</t>
  </si>
  <si>
    <t>AESTHETIC SURFACE TREATMENT</t>
  </si>
  <si>
    <t>SEALING OF CONCRETE SURFACES, (PERMANENT GRAFFITI PROTECTION), AS PER PLAN</t>
  </si>
  <si>
    <t>SEALING OF CONCRETE SURFACES (EPOXY URETHANE)</t>
  </si>
  <si>
    <t>ROADWAY MISC.: EPS GEOFOAM FILL</t>
  </si>
  <si>
    <t>PORTIONS OF STRUCTURE REMOVED</t>
  </si>
  <si>
    <t>GRANULAR MATERIAL TYPE C</t>
  </si>
  <si>
    <t>CU FT</t>
  </si>
  <si>
    <t>VOLUME</t>
  </si>
  <si>
    <t>TOTAL VOLUME OF BACKFILL</t>
  </si>
  <si>
    <t>OUTSIDE FACE-COPING</t>
  </si>
  <si>
    <t>TOP FACE-COPING</t>
  </si>
  <si>
    <t>TOTAL AREA TO SEAL</t>
  </si>
  <si>
    <t>NONE SHOWN ON PLANS, TIES INTO ANOTHER WALL</t>
  </si>
  <si>
    <t>TOTAL LENGTH BOTH MSE WALLS</t>
  </si>
  <si>
    <t>TOTAL PERFORATED PIPE</t>
  </si>
  <si>
    <t>PER GENERAL NOTES</t>
  </si>
  <si>
    <t>ROADWAY MISC.: LIGHT WEIGHT BACKFILL</t>
  </si>
  <si>
    <t>LENGTH OF WALL</t>
  </si>
  <si>
    <t>EXTRA FOR STEPS &amp; CHANGE IN ELEV.</t>
  </si>
  <si>
    <t>CLASS QC2 CONCRETE, MISC.: LOAD DISTRIBUTION SLAB</t>
  </si>
  <si>
    <t>1/2" PREFORMED EXPANSION JOINT FILLER</t>
  </si>
  <si>
    <t>2" PREFORMED EXPANSION JOINT FILLER</t>
  </si>
  <si>
    <t>DEPTH OF JOINT</t>
  </si>
  <si>
    <t>AREA</t>
  </si>
  <si>
    <t>LENGTH OF ABUTMENT (2 JOINTS)</t>
  </si>
  <si>
    <t>SGB INSPECTION AND COMPACTION TESTING</t>
  </si>
  <si>
    <t>02000</t>
  </si>
  <si>
    <t>SPECIAL - ENGINEERED FILL: LIGHTWEIGHT CELLULAR CONCRETE FILL, CLASS II</t>
  </si>
  <si>
    <t>SPECIAL - ENGINEERED FILL: LIGHTWEIGHT CELLULAR CONCRETE FILL, CLASS III</t>
  </si>
  <si>
    <t>SPECIAL - LIGHTWEIGHT CELLULAR CONCRETE FILL, CLASS II</t>
  </si>
  <si>
    <t>SPECIAL - LIGHTWEIGHT CELLULAR CONCRETE FILL, CLASS III</t>
  </si>
  <si>
    <t>COFFERDAMS AND EXCAVATION, AS PER PLAN</t>
  </si>
  <si>
    <t>&amp;</t>
  </si>
  <si>
    <t>AREA STA. 6002+00 TO 6002+50</t>
  </si>
  <si>
    <t>LENGTH BETWEEN STA. 6002+00 TO 6002+50</t>
  </si>
  <si>
    <t>VOLUME STA. 6002+00 TO 6002+50</t>
  </si>
  <si>
    <t>AREA STA. 6002+50 TO 6003+00</t>
  </si>
  <si>
    <t>LENGTH BETWEEN STA. 6002+50 TO 6003+00</t>
  </si>
  <si>
    <t>VOLUME STA. 6002+50 TO 6003+00</t>
  </si>
  <si>
    <t>AREA STA. 6003+00 TO 6003+50</t>
  </si>
  <si>
    <t>LENGTH BETWEEN STA. 6003+00 TO 6003+50</t>
  </si>
  <si>
    <t>VOLUME STA. 6003+00 TO 6003+50</t>
  </si>
  <si>
    <t>LENGTH BETWEEN STA. 6003+50 TO 6003+60.08</t>
  </si>
  <si>
    <t>AREA STA. 6003+50 TO 6003+60.08</t>
  </si>
  <si>
    <t>VOLUME STA. 6003+50 TO 6003+60.08</t>
  </si>
  <si>
    <t>TOTAL VOLUME</t>
  </si>
  <si>
    <t>AREA STA. 6001+39.06 TO 6001+67.24</t>
  </si>
  <si>
    <t>LENGTH BETWEEN STA. 6001+39.06 TO 6001+67.24</t>
  </si>
  <si>
    <t>VOLUME STA. 6001+39.06 TO 6001+67.24</t>
  </si>
  <si>
    <t>AREA STA. 6001+67.24 TO 6002+00</t>
  </si>
  <si>
    <t>LENGTH BETWEEN STA. 6001+67.24 TO 6002+00</t>
  </si>
  <si>
    <t>VOLUME STA. 6001+67.24 TO 6002+00</t>
  </si>
  <si>
    <t>ESTIMATED QUANTITIES - ROADWAYS</t>
  </si>
  <si>
    <t>AVG HEIGHT</t>
  </si>
  <si>
    <t>PLAN AREA UNDER APPROACHSLAB</t>
  </si>
  <si>
    <t>PLAN AREA UNDER LIMITS OF GEOFOAM</t>
  </si>
  <si>
    <t>PLAN AREA UNDER LIMITS OF CELLULAR CONCRETE STEPS</t>
  </si>
  <si>
    <t>PLAN AREA UNDER LIMITS OF CELLULARCONCRETE BEHIND TEMP WALL</t>
  </si>
  <si>
    <t>AVG HEIGHT (C/S AREA / DISTANCE BETWEEN WALLS)</t>
  </si>
  <si>
    <t>TRAPEZODAL PLAN AREA UNDER LIMITS OF CELLULAR CONCRETE STEPS</t>
  </si>
  <si>
    <t>PLAN AREA UNDER LIMITS OF CELLULAR CONCRETE BEHIND TEMP WALL</t>
  </si>
  <si>
    <t>10 FT WIDE STEP PLAN AREA UNDER LIMITS OF CELLULAR CONCRETE STEP 1</t>
  </si>
  <si>
    <t>10 FT WIDE STEP PLAN AREA UNDER LIMITS OF CELLULAR CONCRETE STEP 2</t>
  </si>
  <si>
    <t>6.25 FT STEP PLAN AREA UNDER LIMITS OF CELLULAR CONCRETE STEP 3</t>
  </si>
  <si>
    <t>53012</t>
  </si>
  <si>
    <t>ABOVE WALL QUANTITIES ALSO INCLUDES ROADWAY QUANTITIES LISTED BELOW BETWEEN STATION 177+17.60 TO 179+00.00</t>
  </si>
  <si>
    <t>PLAN AREA UNDER LIMITS OF CELLULAR CONCRETE AFTER TEMP WALL</t>
  </si>
  <si>
    <t>ROADWAY QUANTITIES SHOULD BE REFERENCED FROM SHEET QUANTS</t>
  </si>
  <si>
    <t>WALL QUANTITIES SHOULD BE REFERENCED FROM SHEET E7 (THIS INCLUDES ROADWAY QUANTITIES)</t>
  </si>
  <si>
    <t>FULL LENGTH MSE WALL E7_B</t>
  </si>
  <si>
    <t>FULL LENGTH MSE WALL E7</t>
  </si>
  <si>
    <t>LENGTH OF WALL E7</t>
  </si>
  <si>
    <t>MSE WALL AREA - E7_B</t>
  </si>
  <si>
    <t>MSE WALL AREA - E7 (TOP OF COPING TO TOP OF LEVELLING PAD)</t>
  </si>
  <si>
    <t>PLAN AREA-SHADED REGION AREA (BEHIND WALL)</t>
  </si>
  <si>
    <t>AREA IN FRONT OF WALL (WALL THICKNESS+FOOTING IN FRONT + 1FT BACKFILL)* LEBGTH OF WALL (PER TYPICAL SECTION)</t>
  </si>
  <si>
    <t>NO DRAINAGE DUE TO CELLULAR CONCRETE</t>
  </si>
  <si>
    <t>NO SGB.  DUE TO CELLULAR CONCRETE FILL</t>
  </si>
  <si>
    <t>LENGTH OF WALL TO ABUTMENT (E7_B)</t>
  </si>
  <si>
    <t>AREA OF COPING E7</t>
  </si>
  <si>
    <t>AREA OF COPING E7_B</t>
  </si>
  <si>
    <t>PANEL WALL AREA-PROPOSED GROUND TO TOP OF WALL/BOT OF COPING E7</t>
  </si>
  <si>
    <t>PANEL WALL AREA-PROPOSED GROUND TO TOP OF WALL/BOT OF COPING E7_B</t>
  </si>
  <si>
    <t>BACK OF FACE OF COPING= ALONG ABUTMENT</t>
  </si>
  <si>
    <t>BACK FACE-COPING</t>
  </si>
  <si>
    <t>WALL E7_B</t>
  </si>
  <si>
    <t>FOUNDATION PREP AREA</t>
  </si>
  <si>
    <t>DEPTH</t>
  </si>
  <si>
    <t>AESTHETIC SURFACE TREATMENT E7</t>
  </si>
  <si>
    <t>AESTHETIC SURFACE TREATMENT E7_B</t>
  </si>
  <si>
    <t>ELEVATION AREA (PROP GROUND TO TOP OF COPING)</t>
  </si>
  <si>
    <t>AVERAGE DEPTH OF FILL IN FRONT</t>
  </si>
  <si>
    <t>PLAN AREA (WALL LIMITS IN FRONT OF WALL)</t>
  </si>
  <si>
    <t>VOLUME 2</t>
  </si>
  <si>
    <t>C/S AREA 1 (top of granular backfill and front of footing) (6 in. x 1 ft.)</t>
  </si>
  <si>
    <t>VOLUME 1 (AREA*LENGTH)</t>
  </si>
  <si>
    <t>VOLUME 1</t>
  </si>
  <si>
    <t xml:space="preserve">VOLUME </t>
  </si>
  <si>
    <t>AREA FROM 89464BF001_I70WB (EXCAVATION WITHIN LIMITS OF WALL) (ROADWAY PROFIE I-70 WB)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</si>
</sst>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0"/>
  </numFmts>
  <fonts count="22" x14ac:knownFonts="1">
    <font>
      <sz val="10"/>
      <name val="Arial"/>
    </font>
    <font>
      <sz val="14"/>
      <name val="Verdana"/>
      <family val="2"/>
    </font>
    <font>
      <sz val="10"/>
      <name val="Arial"/>
      <family val="2"/>
    </font>
    <font>
      <sz val="10"/>
      <name val="Arial"/>
      <family val="2"/>
    </font>
    <font>
      <sz val="12"/>
      <name val="Verdana"/>
      <family val="2"/>
    </font>
    <font>
      <b/>
      <sz val="10"/>
      <name val="Arial"/>
      <family val="2"/>
    </font>
    <font>
      <sz val="11"/>
      <color rgb="FF3F3F76"/>
      <name val="Calibri"/>
      <family val="2"/>
      <scheme val="minor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strike/>
      <sz val="10"/>
      <color rgb="FFFF0000"/>
      <name val="Arial"/>
      <family val="2"/>
    </font>
    <font>
      <sz val="11"/>
      <name val="Calibri"/>
      <family val="2"/>
      <scheme val="minor"/>
    </font>
    <font>
      <strike/>
      <sz val="14"/>
      <color rgb="FFFF0000"/>
      <name val="Cambria"/>
      <family val="1"/>
    </font>
    <font>
      <strike/>
      <sz val="12"/>
      <color rgb="FFFF0000"/>
      <name val="Cambria"/>
      <family val="1"/>
    </font>
    <font>
      <strike/>
      <sz val="10"/>
      <color rgb="FFFF0000"/>
      <name val="Cambria"/>
      <family val="1"/>
    </font>
    <font>
      <u/>
      <sz val="10"/>
      <color theme="10"/>
      <name val="Arial"/>
      <family val="2"/>
    </font>
    <font>
      <strike/>
      <sz val="11"/>
      <color rgb="FFFF0000"/>
      <name val="Calibri"/>
      <family val="2"/>
      <scheme val="minor"/>
    </font>
    <font>
      <strike/>
      <sz val="10"/>
      <name val="Arial"/>
      <family val="2"/>
    </font>
    <font>
      <strike/>
      <sz val="11"/>
      <color rgb="FF3F3F76"/>
      <name val="Calibri"/>
      <family val="2"/>
      <scheme val="minor"/>
    </font>
    <font>
      <b/>
      <sz val="11"/>
      <color rgb="FF3F3F76"/>
      <name val="Calibri"/>
      <family val="2"/>
      <scheme val="minor"/>
    </font>
    <font>
      <u/>
      <sz val="10"/>
      <color theme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7F7F7F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6" fillId="2" borderId="24" applyNumberFormat="0" applyAlignment="0" applyProtection="0"/>
    <xf numFmtId="0" fontId="2" fillId="0" borderId="0"/>
    <xf numFmtId="0" fontId="2" fillId="5" borderId="28" applyNumberFormat="0" applyFont="0" applyAlignment="0" applyProtection="0"/>
    <xf numFmtId="0" fontId="14" fillId="0" borderId="0" applyNumberFormat="0" applyFill="0" applyBorder="0" applyAlignment="0" applyProtection="0"/>
  </cellStyleXfs>
  <cellXfs count="22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center"/>
    </xf>
    <xf numFmtId="1" fontId="3" fillId="0" borderId="1" xfId="0" applyNumberFormat="1" applyFont="1" applyBorder="1" applyAlignment="1">
      <alignment horizontal="center" vertical="center"/>
    </xf>
    <xf numFmtId="1" fontId="3" fillId="0" borderId="2" xfId="0" applyNumberFormat="1" applyFont="1" applyBorder="1" applyAlignment="1">
      <alignment horizontal="center" vertical="center"/>
    </xf>
    <xf numFmtId="2" fontId="0" fillId="0" borderId="0" xfId="0" applyNumberFormat="1" applyAlignment="1">
      <alignment horizontal="center"/>
    </xf>
    <xf numFmtId="0" fontId="7" fillId="0" borderId="0" xfId="0" applyFont="1"/>
    <xf numFmtId="11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0" fontId="5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164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164" fontId="5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/>
    </xf>
    <xf numFmtId="49" fontId="0" fillId="0" borderId="0" xfId="0" quotePrefix="1" applyNumberFormat="1" applyAlignment="1">
      <alignment horizontal="center"/>
    </xf>
    <xf numFmtId="0" fontId="0" fillId="0" borderId="0" xfId="0" applyFill="1" applyAlignment="1">
      <alignment horizontal="center"/>
    </xf>
    <xf numFmtId="49" fontId="0" fillId="0" borderId="0" xfId="0" applyNumberFormat="1" applyFill="1" applyAlignment="1">
      <alignment horizontal="center"/>
    </xf>
    <xf numFmtId="0" fontId="0" fillId="0" borderId="0" xfId="0" applyFill="1" applyAlignment="1">
      <alignment horizontal="left"/>
    </xf>
    <xf numFmtId="0" fontId="5" fillId="0" borderId="0" xfId="0" applyFont="1" applyFill="1" applyAlignment="1">
      <alignment horizontal="left"/>
    </xf>
    <xf numFmtId="0" fontId="0" fillId="0" borderId="0" xfId="0" applyFill="1"/>
    <xf numFmtId="2" fontId="0" fillId="0" borderId="0" xfId="0" applyNumberFormat="1" applyFill="1" applyAlignment="1">
      <alignment horizontal="center"/>
    </xf>
    <xf numFmtId="0" fontId="3" fillId="0" borderId="0" xfId="0" applyFont="1" applyFill="1" applyAlignment="1">
      <alignment horizontal="left"/>
    </xf>
    <xf numFmtId="0" fontId="3" fillId="0" borderId="0" xfId="0" applyFont="1" applyFill="1"/>
    <xf numFmtId="2" fontId="5" fillId="0" borderId="0" xfId="0" applyNumberFormat="1" applyFont="1" applyFill="1" applyAlignment="1">
      <alignment horizontal="center"/>
    </xf>
    <xf numFmtId="2" fontId="0" fillId="0" borderId="0" xfId="0" applyNumberFormat="1" applyFill="1" applyAlignment="1">
      <alignment horizontal="left"/>
    </xf>
    <xf numFmtId="0" fontId="5" fillId="0" borderId="0" xfId="0" applyFont="1" applyFill="1" applyAlignment="1">
      <alignment horizontal="center"/>
    </xf>
    <xf numFmtId="1" fontId="3" fillId="0" borderId="0" xfId="0" applyNumberFormat="1" applyFont="1" applyFill="1"/>
    <xf numFmtId="0" fontId="8" fillId="0" borderId="0" xfId="0" applyFont="1" applyFill="1" applyAlignment="1">
      <alignment horizontal="left"/>
    </xf>
    <xf numFmtId="1" fontId="3" fillId="0" borderId="3" xfId="0" applyNumberFormat="1" applyFont="1" applyBorder="1" applyAlignment="1">
      <alignment horizontal="center" vertical="center"/>
    </xf>
    <xf numFmtId="1" fontId="3" fillId="0" borderId="4" xfId="0" applyNumberFormat="1" applyFont="1" applyBorder="1" applyAlignment="1">
      <alignment horizontal="center" vertical="center"/>
    </xf>
    <xf numFmtId="1" fontId="2" fillId="0" borderId="2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1" fontId="7" fillId="0" borderId="0" xfId="0" applyNumberFormat="1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0" xfId="0" applyFont="1"/>
    <xf numFmtId="49" fontId="2" fillId="0" borderId="2" xfId="0" applyNumberFormat="1" applyFont="1" applyBorder="1" applyAlignment="1">
      <alignment horizontal="left" vertical="center"/>
    </xf>
    <xf numFmtId="49" fontId="2" fillId="0" borderId="2" xfId="0" applyNumberFormat="1" applyFont="1" applyBorder="1" applyAlignment="1">
      <alignment horizontal="center" vertical="center"/>
    </xf>
    <xf numFmtId="1" fontId="2" fillId="0" borderId="3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/>
    <xf numFmtId="49" fontId="2" fillId="3" borderId="0" xfId="0" applyNumberFormat="1" applyFont="1" applyFill="1" applyBorder="1" applyAlignment="1">
      <alignment horizontal="left" vertical="center"/>
    </xf>
    <xf numFmtId="0" fontId="0" fillId="3" borderId="0" xfId="0" applyFill="1" applyAlignment="1">
      <alignment horizontal="center"/>
    </xf>
    <xf numFmtId="0" fontId="2" fillId="3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49" fontId="2" fillId="3" borderId="0" xfId="0" applyNumberFormat="1" applyFont="1" applyFill="1" applyBorder="1" applyAlignment="1">
      <alignment horizontal="center" vertical="center"/>
    </xf>
    <xf numFmtId="0" fontId="2" fillId="3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0" fillId="3" borderId="0" xfId="0" applyFill="1" applyAlignment="1">
      <alignment horizontal="left"/>
    </xf>
    <xf numFmtId="1" fontId="3" fillId="3" borderId="0" xfId="0" applyNumberFormat="1" applyFont="1" applyFill="1" applyBorder="1" applyAlignment="1">
      <alignment horizontal="center" vertical="center"/>
    </xf>
    <xf numFmtId="0" fontId="0" fillId="3" borderId="0" xfId="0" applyFill="1" applyBorder="1" applyAlignment="1">
      <alignment horizontal="center"/>
    </xf>
    <xf numFmtId="1" fontId="2" fillId="3" borderId="0" xfId="0" applyNumberFormat="1" applyFont="1" applyFill="1" applyBorder="1" applyAlignment="1">
      <alignment horizontal="center" vertical="center"/>
    </xf>
    <xf numFmtId="0" fontId="1" fillId="0" borderId="11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6" fillId="4" borderId="24" xfId="1" applyFill="1" applyAlignment="1">
      <alignment horizontal="center"/>
    </xf>
    <xf numFmtId="0" fontId="0" fillId="4" borderId="0" xfId="0" applyFill="1" applyAlignment="1">
      <alignment horizontal="center"/>
    </xf>
    <xf numFmtId="1" fontId="2" fillId="0" borderId="4" xfId="0" applyNumberFormat="1" applyFont="1" applyBorder="1" applyAlignment="1">
      <alignment horizontal="center" vertical="center"/>
    </xf>
    <xf numFmtId="49" fontId="2" fillId="0" borderId="25" xfId="0" applyNumberFormat="1" applyFont="1" applyBorder="1" applyAlignment="1">
      <alignment horizontal="center" vertical="center"/>
    </xf>
    <xf numFmtId="49" fontId="3" fillId="0" borderId="25" xfId="0" applyNumberFormat="1" applyFont="1" applyBorder="1" applyAlignment="1">
      <alignment horizontal="center" vertical="center"/>
    </xf>
    <xf numFmtId="49" fontId="3" fillId="0" borderId="26" xfId="0" applyNumberFormat="1" applyFont="1" applyBorder="1" applyAlignment="1">
      <alignment horizontal="center" vertical="center"/>
    </xf>
    <xf numFmtId="49" fontId="2" fillId="0" borderId="26" xfId="0" applyNumberFormat="1" applyFont="1" applyBorder="1" applyAlignment="1">
      <alignment horizontal="center" vertical="center"/>
    </xf>
    <xf numFmtId="1" fontId="2" fillId="0" borderId="2" xfId="0" quotePrefix="1" applyNumberFormat="1" applyFont="1" applyBorder="1" applyAlignment="1">
      <alignment horizontal="center" vertical="center"/>
    </xf>
    <xf numFmtId="0" fontId="9" fillId="3" borderId="0" xfId="0" applyFont="1" applyFill="1" applyAlignment="1">
      <alignment horizontal="center"/>
    </xf>
    <xf numFmtId="49" fontId="9" fillId="3" borderId="0" xfId="0" applyNumberFormat="1" applyFont="1" applyFill="1" applyBorder="1" applyAlignment="1">
      <alignment horizontal="left"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1" fontId="2" fillId="3" borderId="0" xfId="2" applyNumberFormat="1" applyFont="1" applyFill="1" applyBorder="1" applyAlignment="1">
      <alignment horizontal="center" vertical="center"/>
    </xf>
    <xf numFmtId="0" fontId="2" fillId="3" borderId="0" xfId="2" applyFill="1" applyBorder="1" applyAlignment="1">
      <alignment horizontal="center"/>
    </xf>
    <xf numFmtId="0" fontId="2" fillId="3" borderId="0" xfId="2" applyNumberFormat="1" applyFont="1" applyFill="1" applyBorder="1" applyAlignment="1">
      <alignment horizontal="left" vertical="center"/>
    </xf>
    <xf numFmtId="49" fontId="2" fillId="3" borderId="0" xfId="2" applyNumberFormat="1" applyFont="1" applyFill="1" applyBorder="1" applyAlignment="1">
      <alignment horizontal="left" vertical="center"/>
    </xf>
    <xf numFmtId="1" fontId="2" fillId="3" borderId="0" xfId="2" applyNumberFormat="1" applyFont="1" applyFill="1" applyBorder="1" applyAlignment="1">
      <alignment horizontal="center" vertical="center"/>
    </xf>
    <xf numFmtId="0" fontId="2" fillId="3" borderId="0" xfId="2" applyFill="1" applyBorder="1" applyAlignment="1">
      <alignment horizontal="center"/>
    </xf>
    <xf numFmtId="0" fontId="2" fillId="0" borderId="0" xfId="2" applyFont="1" applyAlignment="1">
      <alignment horizontal="left" vertical="center"/>
    </xf>
    <xf numFmtId="0" fontId="2" fillId="0" borderId="0" xfId="2"/>
    <xf numFmtId="0" fontId="2" fillId="0" borderId="0" xfId="2" applyFont="1" applyAlignment="1">
      <alignment horizontal="left"/>
    </xf>
    <xf numFmtId="0" fontId="2" fillId="0" borderId="0" xfId="2" applyFont="1" applyAlignment="1">
      <alignment horizontal="center"/>
    </xf>
    <xf numFmtId="0" fontId="6" fillId="0" borderId="24" xfId="1" applyFill="1" applyAlignment="1">
      <alignment horizontal="center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NumberFormat="1" applyFont="1" applyBorder="1" applyAlignment="1">
      <alignment horizontal="center" vertical="center"/>
    </xf>
    <xf numFmtId="0" fontId="6" fillId="0" borderId="0" xfId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4" fillId="0" borderId="8" xfId="0" applyFont="1" applyBorder="1" applyAlignment="1">
      <alignment horizontal="center" vertical="center" wrapText="1"/>
    </xf>
    <xf numFmtId="0" fontId="0" fillId="6" borderId="0" xfId="0" applyFill="1" applyAlignment="1">
      <alignment horizontal="center"/>
    </xf>
    <xf numFmtId="2" fontId="6" fillId="0" borderId="24" xfId="1" applyNumberFormat="1" applyFill="1" applyAlignment="1">
      <alignment horizontal="center"/>
    </xf>
    <xf numFmtId="1" fontId="6" fillId="4" borderId="24" xfId="1" applyNumberFormat="1" applyFill="1" applyAlignment="1">
      <alignment horizontal="center"/>
    </xf>
    <xf numFmtId="1" fontId="0" fillId="4" borderId="0" xfId="0" applyNumberFormat="1" applyFill="1" applyAlignment="1">
      <alignment horizontal="center"/>
    </xf>
    <xf numFmtId="0" fontId="10" fillId="0" borderId="24" xfId="1" applyFont="1" applyFill="1" applyAlignment="1">
      <alignment horizontal="center"/>
    </xf>
    <xf numFmtId="0" fontId="10" fillId="4" borderId="24" xfId="1" applyFont="1" applyFill="1" applyAlignment="1">
      <alignment horizontal="center"/>
    </xf>
    <xf numFmtId="0" fontId="0" fillId="6" borderId="0" xfId="0" applyFill="1" applyAlignment="1">
      <alignment horizontal="left"/>
    </xf>
    <xf numFmtId="1" fontId="3" fillId="0" borderId="0" xfId="0" applyNumberFormat="1" applyFont="1" applyBorder="1" applyAlignment="1">
      <alignment horizontal="center" vertical="center"/>
    </xf>
    <xf numFmtId="1" fontId="3" fillId="0" borderId="0" xfId="0" applyNumberFormat="1" applyFont="1" applyBorder="1" applyAlignment="1">
      <alignment horizontal="left" vertical="center"/>
    </xf>
    <xf numFmtId="1" fontId="3" fillId="0" borderId="29" xfId="0" applyNumberFormat="1" applyFont="1" applyBorder="1" applyAlignment="1">
      <alignment horizontal="center" vertical="center"/>
    </xf>
    <xf numFmtId="1" fontId="3" fillId="0" borderId="29" xfId="0" applyNumberFormat="1" applyFont="1" applyBorder="1" applyAlignment="1">
      <alignment horizontal="left" vertical="center"/>
    </xf>
    <xf numFmtId="1" fontId="3" fillId="0" borderId="36" xfId="0" applyNumberFormat="1" applyFont="1" applyBorder="1" applyAlignment="1">
      <alignment horizontal="center" vertical="center"/>
    </xf>
    <xf numFmtId="1" fontId="3" fillId="0" borderId="33" xfId="0" applyNumberFormat="1" applyFont="1" applyBorder="1" applyAlignment="1">
      <alignment horizontal="center" vertical="center"/>
    </xf>
    <xf numFmtId="1" fontId="3" fillId="0" borderId="34" xfId="0" applyNumberFormat="1" applyFont="1" applyBorder="1" applyAlignment="1">
      <alignment horizontal="center" vertical="center"/>
    </xf>
    <xf numFmtId="1" fontId="3" fillId="0" borderId="34" xfId="0" applyNumberFormat="1" applyFont="1" applyBorder="1" applyAlignment="1">
      <alignment horizontal="left" vertical="center"/>
    </xf>
    <xf numFmtId="1" fontId="3" fillId="0" borderId="37" xfId="0" applyNumberFormat="1" applyFont="1" applyBorder="1" applyAlignment="1">
      <alignment horizontal="center" vertical="center"/>
    </xf>
    <xf numFmtId="0" fontId="2" fillId="3" borderId="0" xfId="0" applyNumberFormat="1" applyFont="1" applyFill="1" applyBorder="1" applyAlignment="1">
      <alignment horizontal="left" vertical="center"/>
    </xf>
    <xf numFmtId="0" fontId="11" fillId="0" borderId="11" xfId="0" applyFont="1" applyBorder="1" applyAlignment="1">
      <alignment vertical="center"/>
    </xf>
    <xf numFmtId="0" fontId="11" fillId="0" borderId="12" xfId="0" applyFont="1" applyBorder="1" applyAlignment="1">
      <alignment vertical="center"/>
    </xf>
    <xf numFmtId="49" fontId="13" fillId="0" borderId="13" xfId="0" applyNumberFormat="1" applyFont="1" applyBorder="1" applyAlignment="1">
      <alignment horizontal="center" vertical="center" wrapText="1"/>
    </xf>
    <xf numFmtId="0" fontId="13" fillId="0" borderId="10" xfId="0" applyNumberFormat="1" applyFont="1" applyBorder="1" applyAlignment="1">
      <alignment horizontal="center" vertical="center"/>
    </xf>
    <xf numFmtId="49" fontId="13" fillId="0" borderId="9" xfId="0" applyNumberFormat="1" applyFont="1" applyBorder="1" applyAlignment="1">
      <alignment horizontal="center" vertical="center"/>
    </xf>
    <xf numFmtId="49" fontId="13" fillId="0" borderId="10" xfId="0" applyNumberFormat="1" applyFont="1" applyBorder="1" applyAlignment="1">
      <alignment horizontal="left" vertical="top"/>
    </xf>
    <xf numFmtId="49" fontId="13" fillId="0" borderId="9" xfId="0" applyNumberFormat="1" applyFont="1" applyBorder="1" applyAlignment="1">
      <alignment horizontal="center" vertical="center" wrapText="1"/>
    </xf>
    <xf numFmtId="1" fontId="13" fillId="0" borderId="14" xfId="0" applyNumberFormat="1" applyFont="1" applyBorder="1" applyAlignment="1">
      <alignment horizontal="center" vertical="center"/>
    </xf>
    <xf numFmtId="1" fontId="13" fillId="0" borderId="2" xfId="0" applyNumberFormat="1" applyFont="1" applyBorder="1" applyAlignment="1">
      <alignment horizontal="center" vertical="center"/>
    </xf>
    <xf numFmtId="49" fontId="13" fillId="0" borderId="2" xfId="0" applyNumberFormat="1" applyFont="1" applyBorder="1" applyAlignment="1">
      <alignment horizontal="center" vertical="center"/>
    </xf>
    <xf numFmtId="49" fontId="13" fillId="0" borderId="2" xfId="0" applyNumberFormat="1" applyFont="1" applyBorder="1" applyAlignment="1">
      <alignment horizontal="left" vertical="center"/>
    </xf>
    <xf numFmtId="1" fontId="13" fillId="0" borderId="1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left" vertical="center"/>
    </xf>
    <xf numFmtId="1" fontId="13" fillId="0" borderId="1" xfId="0" applyNumberFormat="1" applyFont="1" applyBorder="1" applyAlignment="1">
      <alignment horizontal="left" vertical="center"/>
    </xf>
    <xf numFmtId="1" fontId="13" fillId="0" borderId="15" xfId="0" applyNumberFormat="1" applyFont="1" applyBorder="1" applyAlignment="1">
      <alignment horizontal="center" vertical="center"/>
    </xf>
    <xf numFmtId="1" fontId="13" fillId="0" borderId="5" xfId="0" applyNumberFormat="1" applyFont="1" applyBorder="1" applyAlignment="1">
      <alignment horizontal="center" vertical="center"/>
    </xf>
    <xf numFmtId="49" fontId="13" fillId="0" borderId="5" xfId="0" applyNumberFormat="1" applyFont="1" applyBorder="1" applyAlignment="1">
      <alignment horizontal="center" vertical="center"/>
    </xf>
    <xf numFmtId="49" fontId="13" fillId="0" borderId="5" xfId="0" applyNumberFormat="1" applyFont="1" applyBorder="1" applyAlignment="1">
      <alignment horizontal="left" vertical="center"/>
    </xf>
    <xf numFmtId="0" fontId="0" fillId="7" borderId="0" xfId="0" applyFill="1" applyAlignment="1">
      <alignment horizontal="center"/>
    </xf>
    <xf numFmtId="0" fontId="6" fillId="7" borderId="24" xfId="1" applyFill="1" applyAlignment="1">
      <alignment horizontal="center"/>
    </xf>
    <xf numFmtId="0" fontId="2" fillId="7" borderId="0" xfId="0" applyFont="1" applyFill="1" applyAlignment="1">
      <alignment horizontal="center"/>
    </xf>
    <xf numFmtId="0" fontId="2" fillId="7" borderId="0" xfId="0" applyFont="1" applyFill="1" applyAlignment="1">
      <alignment horizontal="left"/>
    </xf>
    <xf numFmtId="2" fontId="0" fillId="7" borderId="0" xfId="0" applyNumberFormat="1" applyFill="1" applyAlignment="1">
      <alignment horizontal="center"/>
    </xf>
    <xf numFmtId="0" fontId="2" fillId="7" borderId="0" xfId="0" applyFont="1" applyFill="1" applyBorder="1" applyAlignment="1">
      <alignment horizontal="center"/>
    </xf>
    <xf numFmtId="0" fontId="9" fillId="6" borderId="0" xfId="0" applyFont="1" applyFill="1" applyAlignment="1">
      <alignment horizontal="center"/>
    </xf>
    <xf numFmtId="0" fontId="15" fillId="6" borderId="24" xfId="1" applyFont="1" applyFill="1" applyAlignment="1">
      <alignment horizontal="center"/>
    </xf>
    <xf numFmtId="0" fontId="9" fillId="6" borderId="0" xfId="0" applyFont="1" applyFill="1" applyAlignment="1">
      <alignment horizontal="left"/>
    </xf>
    <xf numFmtId="0" fontId="2" fillId="7" borderId="0" xfId="2" applyFont="1" applyFill="1" applyAlignment="1">
      <alignment horizontal="center"/>
    </xf>
    <xf numFmtId="0" fontId="2" fillId="7" borderId="0" xfId="2" applyFill="1"/>
    <xf numFmtId="0" fontId="2" fillId="7" borderId="0" xfId="2" applyFont="1" applyFill="1" applyAlignment="1">
      <alignment horizontal="left"/>
    </xf>
    <xf numFmtId="0" fontId="2" fillId="7" borderId="0" xfId="2" applyFont="1" applyFill="1" applyAlignment="1">
      <alignment horizontal="left" vertical="center"/>
    </xf>
    <xf numFmtId="0" fontId="0" fillId="7" borderId="0" xfId="0" applyFill="1" applyAlignment="1">
      <alignment horizontal="left"/>
    </xf>
    <xf numFmtId="2" fontId="6" fillId="7" borderId="24" xfId="1" applyNumberFormat="1" applyFill="1" applyAlignment="1">
      <alignment horizontal="center"/>
    </xf>
    <xf numFmtId="0" fontId="16" fillId="6" borderId="0" xfId="0" applyFont="1" applyFill="1" applyAlignment="1">
      <alignment horizontal="center"/>
    </xf>
    <xf numFmtId="0" fontId="17" fillId="6" borderId="24" xfId="1" applyFont="1" applyFill="1" applyAlignment="1">
      <alignment horizontal="center"/>
    </xf>
    <xf numFmtId="0" fontId="16" fillId="6" borderId="0" xfId="0" applyFont="1" applyFill="1" applyAlignment="1">
      <alignment horizontal="left"/>
    </xf>
    <xf numFmtId="2" fontId="17" fillId="6" borderId="24" xfId="1" applyNumberFormat="1" applyFont="1" applyFill="1" applyAlignment="1">
      <alignment horizontal="center"/>
    </xf>
    <xf numFmtId="2" fontId="16" fillId="6" borderId="0" xfId="0" applyNumberFormat="1" applyFont="1" applyFill="1" applyAlignment="1">
      <alignment horizontal="center"/>
    </xf>
    <xf numFmtId="0" fontId="16" fillId="3" borderId="0" xfId="0" applyFont="1" applyFill="1" applyAlignment="1">
      <alignment horizontal="center"/>
    </xf>
    <xf numFmtId="0" fontId="16" fillId="3" borderId="0" xfId="0" applyFont="1" applyFill="1" applyAlignment="1">
      <alignment horizontal="left"/>
    </xf>
    <xf numFmtId="0" fontId="0" fillId="7" borderId="0" xfId="0" applyFill="1" applyAlignment="1">
      <alignment horizontal="center" vertical="center"/>
    </xf>
    <xf numFmtId="0" fontId="18" fillId="7" borderId="24" xfId="1" applyFont="1" applyFill="1" applyAlignment="1">
      <alignment horizontal="center"/>
    </xf>
    <xf numFmtId="0" fontId="5" fillId="7" borderId="0" xfId="0" applyFont="1" applyFill="1" applyAlignment="1">
      <alignment horizontal="center"/>
    </xf>
    <xf numFmtId="0" fontId="5" fillId="7" borderId="0" xfId="0" applyFont="1" applyFill="1" applyAlignment="1">
      <alignment horizontal="left"/>
    </xf>
    <xf numFmtId="2" fontId="5" fillId="7" borderId="0" xfId="0" applyNumberFormat="1" applyFont="1" applyFill="1" applyAlignment="1">
      <alignment horizontal="center"/>
    </xf>
    <xf numFmtId="0" fontId="19" fillId="7" borderId="0" xfId="4" applyFont="1" applyFill="1" applyAlignment="1">
      <alignment horizontal="left"/>
    </xf>
    <xf numFmtId="1" fontId="3" fillId="0" borderId="35" xfId="0" applyNumberFormat="1" applyFont="1" applyBorder="1" applyAlignment="1">
      <alignment horizontal="center" vertical="center"/>
    </xf>
    <xf numFmtId="1" fontId="3" fillId="0" borderId="2" xfId="0" applyNumberFormat="1" applyFont="1" applyBorder="1" applyAlignment="1">
      <alignment horizontal="left" vertical="center"/>
    </xf>
    <xf numFmtId="1" fontId="3" fillId="0" borderId="18" xfId="0" applyNumberFormat="1" applyFont="1" applyBorder="1" applyAlignment="1">
      <alignment horizontal="center" vertical="center"/>
    </xf>
    <xf numFmtId="1" fontId="3" fillId="0" borderId="18" xfId="0" applyNumberFormat="1" applyFont="1" applyBorder="1" applyAlignment="1">
      <alignment horizontal="left" vertical="center"/>
    </xf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left"/>
    </xf>
    <xf numFmtId="0" fontId="16" fillId="7" borderId="0" xfId="0" applyFont="1" applyFill="1" applyAlignment="1">
      <alignment horizontal="center"/>
    </xf>
    <xf numFmtId="2" fontId="17" fillId="7" borderId="24" xfId="1" applyNumberFormat="1" applyFont="1" applyFill="1" applyAlignment="1">
      <alignment horizontal="center"/>
    </xf>
    <xf numFmtId="0" fontId="16" fillId="7" borderId="0" xfId="0" applyFont="1" applyFill="1" applyAlignment="1">
      <alignment horizontal="left"/>
    </xf>
    <xf numFmtId="0" fontId="17" fillId="7" borderId="24" xfId="1" applyFont="1" applyFill="1" applyAlignment="1">
      <alignment horizontal="center"/>
    </xf>
    <xf numFmtId="1" fontId="17" fillId="7" borderId="24" xfId="1" applyNumberFormat="1" applyFont="1" applyFill="1" applyAlignment="1">
      <alignment horizontal="center"/>
    </xf>
    <xf numFmtId="49" fontId="16" fillId="0" borderId="1" xfId="0" applyNumberFormat="1" applyFont="1" applyBorder="1" applyAlignment="1">
      <alignment horizontal="center" vertical="center"/>
    </xf>
    <xf numFmtId="1" fontId="16" fillId="0" borderId="5" xfId="0" applyNumberFormat="1" applyFont="1" applyBorder="1" applyAlignment="1">
      <alignment horizontal="center" vertical="center"/>
    </xf>
    <xf numFmtId="1" fontId="16" fillId="0" borderId="6" xfId="0" applyNumberFormat="1" applyFont="1" applyBorder="1" applyAlignment="1">
      <alignment horizontal="center" vertical="center"/>
    </xf>
    <xf numFmtId="49" fontId="16" fillId="0" borderId="5" xfId="0" applyNumberFormat="1" applyFont="1" applyBorder="1" applyAlignment="1">
      <alignment horizontal="center" vertical="center"/>
    </xf>
    <xf numFmtId="49" fontId="16" fillId="0" borderId="27" xfId="0" applyNumberFormat="1" applyFont="1" applyBorder="1" applyAlignment="1">
      <alignment horizontal="center" vertical="center"/>
    </xf>
    <xf numFmtId="49" fontId="16" fillId="0" borderId="5" xfId="0" applyNumberFormat="1" applyFont="1" applyBorder="1" applyAlignment="1">
      <alignment horizontal="left" vertical="center"/>
    </xf>
    <xf numFmtId="0" fontId="1" fillId="0" borderId="11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4" fillId="0" borderId="2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12" fillId="0" borderId="16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/>
    </xf>
    <xf numFmtId="0" fontId="12" fillId="0" borderId="20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2" fillId="7" borderId="38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7" borderId="0" xfId="0" applyFont="1" applyFill="1" applyAlignment="1">
      <alignment horizontal="center" vertical="center"/>
    </xf>
    <xf numFmtId="0" fontId="0" fillId="7" borderId="0" xfId="0" applyFill="1" applyAlignment="1">
      <alignment horizontal="center" vertical="center"/>
    </xf>
    <xf numFmtId="0" fontId="0" fillId="7" borderId="38" xfId="0" applyFill="1" applyBorder="1" applyAlignment="1">
      <alignment horizontal="center" vertical="center"/>
    </xf>
  </cellXfs>
  <cellStyles count="5">
    <cellStyle name="Hyperlink" xfId="4" builtinId="8"/>
    <cellStyle name="Input" xfId="1" builtinId="20"/>
    <cellStyle name="Normal" xfId="0" builtinId="0"/>
    <cellStyle name="Normal 2" xfId="2"/>
    <cellStyle name="Note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mp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19050</xdr:rowOff>
    </xdr:from>
    <xdr:to>
      <xdr:col>19</xdr:col>
      <xdr:colOff>133350</xdr:colOff>
      <xdr:row>71</xdr:row>
      <xdr:rowOff>95250</xdr:rowOff>
    </xdr:to>
    <xdr:grpSp>
      <xdr:nvGrpSpPr>
        <xdr:cNvPr id="25197" name="InnerSheetBorder">
          <a:extLst>
            <a:ext uri="{FF2B5EF4-FFF2-40B4-BE49-F238E27FC236}">
              <a16:creationId xmlns:a16="http://schemas.microsoft.com/office/drawing/2014/main" id="{00000000-0008-0000-0100-00006D620000}"/>
            </a:ext>
          </a:extLst>
        </xdr:cNvPr>
        <xdr:cNvGrpSpPr>
          <a:grpSpLocks/>
        </xdr:cNvGrpSpPr>
      </xdr:nvGrpSpPr>
      <xdr:grpSpPr bwMode="auto">
        <a:xfrm>
          <a:off x="0" y="19050"/>
          <a:ext cx="17678400" cy="12125325"/>
          <a:chOff x="256" y="102"/>
          <a:chExt cx="1852" cy="1275"/>
        </a:xfrm>
      </xdr:grpSpPr>
      <xdr:sp macro="" textlink="">
        <xdr:nvSpPr>
          <xdr:cNvPr id="25198" name="OB2">
            <a:extLst>
              <a:ext uri="{FF2B5EF4-FFF2-40B4-BE49-F238E27FC236}">
                <a16:creationId xmlns:a16="http://schemas.microsoft.com/office/drawing/2014/main" id="{00000000-0008-0000-0100-00006E620000}"/>
              </a:ext>
            </a:extLst>
          </xdr:cNvPr>
          <xdr:cNvSpPr>
            <a:spLocks noChangeShapeType="1"/>
          </xdr:cNvSpPr>
        </xdr:nvSpPr>
        <xdr:spPr bwMode="auto">
          <a:xfrm>
            <a:off x="256" y="102"/>
            <a:ext cx="1852" cy="0"/>
          </a:xfrm>
          <a:prstGeom prst="line">
            <a:avLst/>
          </a:prstGeom>
          <a:noFill/>
          <a:ln w="9525">
            <a:solidFill>
              <a:srgbClr val="33996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5199" name="OB1">
            <a:extLst>
              <a:ext uri="{FF2B5EF4-FFF2-40B4-BE49-F238E27FC236}">
                <a16:creationId xmlns:a16="http://schemas.microsoft.com/office/drawing/2014/main" id="{00000000-0008-0000-0100-00006F62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256" y="102"/>
            <a:ext cx="0" cy="1275"/>
          </a:xfrm>
          <a:prstGeom prst="line">
            <a:avLst/>
          </a:prstGeom>
          <a:noFill/>
          <a:ln w="9525">
            <a:solidFill>
              <a:srgbClr val="33996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5200" name="OB3">
            <a:extLst>
              <a:ext uri="{FF2B5EF4-FFF2-40B4-BE49-F238E27FC236}">
                <a16:creationId xmlns:a16="http://schemas.microsoft.com/office/drawing/2014/main" id="{00000000-0008-0000-0100-00007062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2108" y="102"/>
            <a:ext cx="0" cy="1275"/>
          </a:xfrm>
          <a:prstGeom prst="line">
            <a:avLst/>
          </a:prstGeom>
          <a:noFill/>
          <a:ln w="9525">
            <a:solidFill>
              <a:srgbClr val="33996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5201" name="OB4">
            <a:extLst>
              <a:ext uri="{FF2B5EF4-FFF2-40B4-BE49-F238E27FC236}">
                <a16:creationId xmlns:a16="http://schemas.microsoft.com/office/drawing/2014/main" id="{00000000-0008-0000-0100-000071620000}"/>
              </a:ext>
            </a:extLst>
          </xdr:cNvPr>
          <xdr:cNvSpPr>
            <a:spLocks noChangeShapeType="1"/>
          </xdr:cNvSpPr>
        </xdr:nvSpPr>
        <xdr:spPr bwMode="auto">
          <a:xfrm>
            <a:off x="256" y="1377"/>
            <a:ext cx="1852" cy="0"/>
          </a:xfrm>
          <a:prstGeom prst="line">
            <a:avLst/>
          </a:prstGeom>
          <a:noFill/>
          <a:ln w="9525">
            <a:solidFill>
              <a:srgbClr val="33996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457200</xdr:colOff>
      <xdr:row>31</xdr:row>
      <xdr:rowOff>0</xdr:rowOff>
    </xdr:from>
    <xdr:to>
      <xdr:col>7</xdr:col>
      <xdr:colOff>293901</xdr:colOff>
      <xdr:row>42</xdr:row>
      <xdr:rowOff>25609</xdr:rowOff>
    </xdr:to>
    <xdr:pic>
      <xdr:nvPicPr>
        <xdr:cNvPr id="2" name="Picture 1" descr="Screen Clipping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63150" y="5486400"/>
          <a:ext cx="1074951" cy="206395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2010/B-10-020%20HAM-75-7.85/77889/structures/WALL_00S/spreadsheets/00SWQ401_Estimated%20Quantiti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2010/B-10-020%20HAM-75-7.85/77889/structures/WALL_00U/spreadsheets/00UWQ401_Estimated%20Quantitie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2010/B-10-020%20HAM-75-7.85/77889/structures/WALL_00V/spreadsheets/00VWQ401_Estimated%20Quantiti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uants"/>
      <sheetName val="Calcs"/>
    </sheetNames>
    <sheetDataSet>
      <sheetData sheetId="0"/>
      <sheetData sheetId="1">
        <row r="2">
          <cell r="C2" t="str">
            <v>LUMP</v>
          </cell>
        </row>
        <row r="3">
          <cell r="C3">
            <v>553</v>
          </cell>
        </row>
        <row r="4">
          <cell r="C4">
            <v>5514</v>
          </cell>
        </row>
        <row r="5">
          <cell r="C5">
            <v>80</v>
          </cell>
        </row>
        <row r="6">
          <cell r="C6">
            <v>103</v>
          </cell>
        </row>
        <row r="7">
          <cell r="C7">
            <v>103</v>
          </cell>
        </row>
        <row r="8">
          <cell r="C8">
            <v>21</v>
          </cell>
        </row>
        <row r="9">
          <cell r="C9">
            <v>777</v>
          </cell>
        </row>
        <row r="11">
          <cell r="C11">
            <v>27.666666666666668</v>
          </cell>
        </row>
        <row r="12">
          <cell r="C12">
            <v>48</v>
          </cell>
        </row>
        <row r="13">
          <cell r="C13">
            <v>596</v>
          </cell>
        </row>
        <row r="14">
          <cell r="C14">
            <v>286.08999999999997</v>
          </cell>
        </row>
        <row r="15">
          <cell r="C15">
            <v>204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uants"/>
      <sheetName val="Calcs"/>
    </sheetNames>
    <sheetDataSet>
      <sheetData sheetId="0"/>
      <sheetData sheetId="1">
        <row r="2">
          <cell r="C2" t="str">
            <v>LUMP</v>
          </cell>
        </row>
        <row r="3">
          <cell r="C3">
            <v>1779</v>
          </cell>
        </row>
        <row r="4">
          <cell r="C4">
            <v>19557</v>
          </cell>
        </row>
        <row r="5">
          <cell r="C5">
            <v>239</v>
          </cell>
        </row>
        <row r="6">
          <cell r="C6">
            <v>398</v>
          </cell>
        </row>
        <row r="7">
          <cell r="C7">
            <v>398</v>
          </cell>
        </row>
        <row r="8">
          <cell r="C8">
            <v>68</v>
          </cell>
        </row>
        <row r="9">
          <cell r="C9">
            <v>204</v>
          </cell>
        </row>
        <row r="11">
          <cell r="C11">
            <v>84</v>
          </cell>
        </row>
        <row r="12">
          <cell r="C12">
            <v>108</v>
          </cell>
        </row>
        <row r="13">
          <cell r="C13">
            <v>2234</v>
          </cell>
        </row>
        <row r="14">
          <cell r="C14">
            <v>505.07</v>
          </cell>
        </row>
        <row r="15">
          <cell r="C15">
            <v>453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uants"/>
      <sheetName val="Calcs"/>
      <sheetName val="Sheet1"/>
    </sheetNames>
    <sheetDataSet>
      <sheetData sheetId="0"/>
      <sheetData sheetId="1">
        <row r="2">
          <cell r="C2" t="str">
            <v>LUMP</v>
          </cell>
        </row>
        <row r="3">
          <cell r="C3">
            <v>14230</v>
          </cell>
        </row>
        <row r="4">
          <cell r="C4">
            <v>297098</v>
          </cell>
        </row>
        <row r="5">
          <cell r="C5">
            <v>2312</v>
          </cell>
        </row>
        <row r="6">
          <cell r="C6">
            <v>4745</v>
          </cell>
        </row>
        <row r="7">
          <cell r="C7">
            <v>4745</v>
          </cell>
        </row>
        <row r="8">
          <cell r="C8">
            <v>774</v>
          </cell>
        </row>
        <row r="9">
          <cell r="C9">
            <v>8649.67</v>
          </cell>
        </row>
        <row r="11">
          <cell r="C11">
            <v>994.44444444444446</v>
          </cell>
        </row>
        <row r="12">
          <cell r="C12">
            <v>668</v>
          </cell>
        </row>
        <row r="13">
          <cell r="C13">
            <v>13588.71</v>
          </cell>
        </row>
        <row r="14">
          <cell r="C14">
            <v>2</v>
          </cell>
        </row>
        <row r="16">
          <cell r="C16">
            <v>644</v>
          </cell>
        </row>
        <row r="17">
          <cell r="C17" t="str">
            <v>LUMP</v>
          </cell>
        </row>
        <row r="19">
          <cell r="C19">
            <v>49169</v>
          </cell>
        </row>
        <row r="20">
          <cell r="C20">
            <v>11</v>
          </cell>
        </row>
        <row r="21">
          <cell r="C21">
            <v>266</v>
          </cell>
        </row>
        <row r="22">
          <cell r="C22">
            <v>243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..\basemaps\89464BF001_I70WB.dgn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workbookViewId="0">
      <selection activeCell="J30" sqref="J30"/>
    </sheetView>
  </sheetViews>
  <sheetFormatPr defaultRowHeight="12.75" x14ac:dyDescent="0.2"/>
  <cols>
    <col min="2" max="2" width="13.140625" bestFit="1" customWidth="1"/>
    <col min="3" max="3" width="8.85546875" bestFit="1" customWidth="1"/>
    <col min="5" max="5" width="84.5703125" bestFit="1" customWidth="1"/>
    <col min="6" max="6" width="17" customWidth="1"/>
  </cols>
  <sheetData>
    <row r="1" spans="1:11" x14ac:dyDescent="0.2">
      <c r="A1" s="171" t="s">
        <v>29</v>
      </c>
      <c r="B1" s="172"/>
      <c r="C1" s="172"/>
      <c r="D1" s="172"/>
      <c r="E1" s="173"/>
      <c r="F1" s="177" t="s">
        <v>30</v>
      </c>
    </row>
    <row r="2" spans="1:11" ht="13.5" thickBot="1" x14ac:dyDescent="0.25">
      <c r="A2" s="174"/>
      <c r="B2" s="175"/>
      <c r="C2" s="175"/>
      <c r="D2" s="175"/>
      <c r="E2" s="176"/>
      <c r="F2" s="178"/>
    </row>
    <row r="3" spans="1:11" ht="12.75" customHeight="1" x14ac:dyDescent="0.2">
      <c r="A3" s="179" t="s">
        <v>0</v>
      </c>
      <c r="B3" s="181" t="s">
        <v>4</v>
      </c>
      <c r="C3" s="181" t="s">
        <v>1</v>
      </c>
      <c r="D3" s="181" t="s">
        <v>2</v>
      </c>
      <c r="E3" s="183" t="s">
        <v>3</v>
      </c>
      <c r="F3" s="178"/>
    </row>
    <row r="4" spans="1:11" ht="13.5" customHeight="1" x14ac:dyDescent="0.2">
      <c r="A4" s="180"/>
      <c r="B4" s="182"/>
      <c r="C4" s="182"/>
      <c r="D4" s="182"/>
      <c r="E4" s="184"/>
      <c r="F4" s="178"/>
    </row>
    <row r="5" spans="1:11" x14ac:dyDescent="0.2">
      <c r="A5" s="101">
        <f>'E7'!B5</f>
        <v>203</v>
      </c>
      <c r="B5" s="99" t="str">
        <f>'E7'!C5</f>
        <v>02000</v>
      </c>
      <c r="C5" s="99">
        <f>'E7'!D5</f>
        <v>12305</v>
      </c>
      <c r="D5" s="99" t="str">
        <f>'E7'!E5</f>
        <v>CU YD</v>
      </c>
      <c r="E5" s="100" t="str">
        <f>'E7'!F5</f>
        <v>SPECIAL - ENGINEERED FILL: LIGHTWEIGHT CELLULAR CONCRETE FILL, CLASS II</v>
      </c>
      <c r="F5" s="105"/>
      <c r="H5" s="187" t="s">
        <v>145</v>
      </c>
      <c r="I5" s="187"/>
      <c r="J5" s="187"/>
      <c r="K5" s="187"/>
    </row>
    <row r="6" spans="1:11" x14ac:dyDescent="0.2">
      <c r="A6" s="101">
        <f>'E7'!B6</f>
        <v>203</v>
      </c>
      <c r="B6" s="99" t="str">
        <f>'E7'!C6</f>
        <v>02000</v>
      </c>
      <c r="C6" s="99">
        <f>'E7'!D6</f>
        <v>758</v>
      </c>
      <c r="D6" s="99" t="str">
        <f>'E7'!E6</f>
        <v>CU YD</v>
      </c>
      <c r="E6" s="100" t="str">
        <f>'E7'!F6</f>
        <v>SPECIAL - ENGINEERED FILL: LIGHTWEIGHT CELLULAR CONCRETE FILL, CLASS III</v>
      </c>
      <c r="F6" s="105"/>
      <c r="H6" s="187"/>
      <c r="I6" s="187"/>
      <c r="J6" s="187"/>
      <c r="K6" s="187"/>
    </row>
    <row r="7" spans="1:11" x14ac:dyDescent="0.2">
      <c r="A7" s="101">
        <f>'E7'!B7</f>
        <v>203</v>
      </c>
      <c r="B7" s="99">
        <f>'E7'!C7</f>
        <v>20000</v>
      </c>
      <c r="C7" s="99">
        <f>'E7'!D7</f>
        <v>18</v>
      </c>
      <c r="D7" s="99" t="str">
        <f>'E7'!E7</f>
        <v>CU YD</v>
      </c>
      <c r="E7" s="100" t="str">
        <f>'E7'!F7</f>
        <v>EMBANKMENT</v>
      </c>
      <c r="F7" s="105"/>
      <c r="H7" s="187"/>
      <c r="I7" s="187"/>
      <c r="J7" s="187"/>
      <c r="K7" s="187"/>
    </row>
    <row r="8" spans="1:11" x14ac:dyDescent="0.2">
      <c r="A8" s="101">
        <f>'E7'!B8</f>
        <v>203</v>
      </c>
      <c r="B8" s="99">
        <f>'E7'!C8</f>
        <v>35110</v>
      </c>
      <c r="C8" s="99">
        <f>'E7'!D8</f>
        <v>691</v>
      </c>
      <c r="D8" s="99" t="str">
        <f>'E7'!E8</f>
        <v>CU YD</v>
      </c>
      <c r="E8" s="100" t="str">
        <f>'E7'!F8</f>
        <v>GRANULAR MATERIAL, TYPE B</v>
      </c>
      <c r="F8" s="105"/>
      <c r="H8" s="187"/>
      <c r="I8" s="187"/>
      <c r="J8" s="187"/>
      <c r="K8" s="187"/>
    </row>
    <row r="9" spans="1:11" x14ac:dyDescent="0.2">
      <c r="A9" s="101">
        <f>'E7'!B9</f>
        <v>203</v>
      </c>
      <c r="B9" s="99">
        <f>'E7'!C9</f>
        <v>98000</v>
      </c>
      <c r="C9" s="99">
        <f>'E7'!D9</f>
        <v>3117</v>
      </c>
      <c r="D9" s="99" t="str">
        <f>'E7'!E9</f>
        <v>CU YD</v>
      </c>
      <c r="E9" s="100" t="str">
        <f>'E7'!F9</f>
        <v>ROADWAY MISC.: EPS GEOFOAM FILL</v>
      </c>
      <c r="F9" s="105"/>
    </row>
    <row r="10" spans="1:11" x14ac:dyDescent="0.2">
      <c r="A10" s="101"/>
      <c r="B10" s="99"/>
      <c r="C10" s="99"/>
      <c r="D10" s="99"/>
      <c r="E10" s="100"/>
      <c r="F10" s="105"/>
    </row>
    <row r="11" spans="1:11" x14ac:dyDescent="0.2">
      <c r="A11" s="101">
        <f>'E7'!B11</f>
        <v>203</v>
      </c>
      <c r="B11" s="99">
        <f>'E7'!C11</f>
        <v>65000</v>
      </c>
      <c r="C11" s="99">
        <f>'E7'!D11</f>
        <v>2</v>
      </c>
      <c r="D11" s="99" t="str">
        <f>'E7'!E11</f>
        <v>EACH</v>
      </c>
      <c r="E11" s="100" t="str">
        <f>'E7'!F11</f>
        <v>SPECIAL - SETTLEMENT PLATFORM</v>
      </c>
      <c r="F11" s="105"/>
    </row>
    <row r="12" spans="1:11" x14ac:dyDescent="0.2">
      <c r="A12" s="101">
        <f>'E7'!B12</f>
        <v>503</v>
      </c>
      <c r="B12" s="99">
        <f>'E7'!C12</f>
        <v>11101</v>
      </c>
      <c r="C12" s="99" t="str">
        <f>'E7'!D12</f>
        <v>LS</v>
      </c>
      <c r="D12" s="99" t="str">
        <f>'E7'!E12</f>
        <v>LS</v>
      </c>
      <c r="E12" s="100" t="str">
        <f>'E7'!F12</f>
        <v>COFFERDAMS AND EXCAVATION, AS PER PLAN</v>
      </c>
      <c r="F12" s="105"/>
    </row>
    <row r="13" spans="1:11" x14ac:dyDescent="0.2">
      <c r="A13" s="101">
        <f>'E7'!B13</f>
        <v>511</v>
      </c>
      <c r="B13" s="99">
        <f>'E7'!C13</f>
        <v>53012</v>
      </c>
      <c r="C13" s="99">
        <f>'E7'!D13</f>
        <v>87</v>
      </c>
      <c r="D13" s="99" t="str">
        <f>'E7'!E13</f>
        <v>CU YD</v>
      </c>
      <c r="E13" s="100" t="str">
        <f>'E7'!F13</f>
        <v>CLASS QC2 CONCRETE, MISC.: LOAD DISTRIBUTION SLAB</v>
      </c>
      <c r="F13" s="105"/>
    </row>
    <row r="14" spans="1:11" x14ac:dyDescent="0.2">
      <c r="A14" s="101"/>
      <c r="B14" s="99"/>
      <c r="C14" s="99"/>
      <c r="D14" s="99"/>
      <c r="E14" s="100"/>
      <c r="F14" s="105"/>
    </row>
    <row r="15" spans="1:11" x14ac:dyDescent="0.2">
      <c r="A15" s="101">
        <f>'E7'!B15</f>
        <v>512</v>
      </c>
      <c r="B15" s="99">
        <f>'E7'!C15</f>
        <v>10100</v>
      </c>
      <c r="C15" s="99">
        <f>'E7'!D15</f>
        <v>281</v>
      </c>
      <c r="D15" s="99" t="str">
        <f>'E7'!E15</f>
        <v>SQ YD</v>
      </c>
      <c r="E15" s="100" t="str">
        <f>'E7'!F15</f>
        <v>SEALING OF CONCRETE SURFACES (EPOXY URETHANE)</v>
      </c>
      <c r="F15" s="105"/>
    </row>
    <row r="16" spans="1:11" x14ac:dyDescent="0.2">
      <c r="A16" s="101">
        <f>'E7'!B16</f>
        <v>516</v>
      </c>
      <c r="B16" s="99">
        <f>'E7'!C16</f>
        <v>13200</v>
      </c>
      <c r="C16" s="99">
        <f>'E7'!D16</f>
        <v>68</v>
      </c>
      <c r="D16" s="99" t="str">
        <f>'E7'!E16</f>
        <v>SQ FT</v>
      </c>
      <c r="E16" s="100" t="str">
        <f>'E7'!F16</f>
        <v>1/2" PREFORMED EXPANSION JOINT FILLER</v>
      </c>
      <c r="F16" s="105"/>
    </row>
    <row r="17" spans="1:6" x14ac:dyDescent="0.2">
      <c r="A17" s="101">
        <f>'E7'!B17</f>
        <v>516</v>
      </c>
      <c r="B17" s="99">
        <f>'E7'!C17</f>
        <v>13900</v>
      </c>
      <c r="C17" s="99">
        <f>'E7'!D17</f>
        <v>59</v>
      </c>
      <c r="D17" s="99" t="str">
        <f>'E7'!E17</f>
        <v>SQ FT</v>
      </c>
      <c r="E17" s="100" t="str">
        <f>'E7'!F17</f>
        <v>2" PREFORMED EXPANSION JOINT FILLER</v>
      </c>
      <c r="F17" s="105"/>
    </row>
    <row r="18" spans="1:6" x14ac:dyDescent="0.2">
      <c r="A18" s="101"/>
      <c r="B18" s="99"/>
      <c r="C18" s="99"/>
      <c r="D18" s="99"/>
      <c r="E18" s="100"/>
      <c r="F18" s="105"/>
    </row>
    <row r="19" spans="1:6" x14ac:dyDescent="0.2">
      <c r="A19" s="101">
        <f>'E7'!B19</f>
        <v>840</v>
      </c>
      <c r="B19" s="99">
        <f>'E7'!C19</f>
        <v>20001</v>
      </c>
      <c r="C19" s="99">
        <f>'E7'!D19</f>
        <v>2906</v>
      </c>
      <c r="D19" s="99" t="str">
        <f>'E7'!E19</f>
        <v>SQ FT</v>
      </c>
      <c r="E19" s="100" t="str">
        <f>'E7'!F19</f>
        <v>MECHANICALLY STABILIZED EARTH WALL, AS PER PLAN</v>
      </c>
      <c r="F19" s="105"/>
    </row>
    <row r="20" spans="1:6" x14ac:dyDescent="0.2">
      <c r="A20" s="101">
        <f>'E7'!B20</f>
        <v>840</v>
      </c>
      <c r="B20" s="99">
        <f>'E7'!C20</f>
        <v>21000</v>
      </c>
      <c r="C20" s="99">
        <f>'E7'!D20</f>
        <v>1300</v>
      </c>
      <c r="D20" s="99" t="str">
        <f>'E7'!E20</f>
        <v>CU YD</v>
      </c>
      <c r="E20" s="100" t="str">
        <f>'E7'!F20</f>
        <v>WALL EXCAVATION</v>
      </c>
      <c r="F20" s="105"/>
    </row>
    <row r="21" spans="1:6" x14ac:dyDescent="0.2">
      <c r="A21" s="101">
        <f>'E7'!B21</f>
        <v>840</v>
      </c>
      <c r="B21" s="99">
        <f>'E7'!C21</f>
        <v>22000</v>
      </c>
      <c r="C21" s="99">
        <f>'E7'!D21</f>
        <v>315</v>
      </c>
      <c r="D21" s="99" t="str">
        <f>'E7'!E21</f>
        <v>SQ YD</v>
      </c>
      <c r="E21" s="100" t="str">
        <f>'E7'!F21</f>
        <v>FOUNDATION PREPARATION</v>
      </c>
      <c r="F21" s="105"/>
    </row>
    <row r="22" spans="1:6" x14ac:dyDescent="0.2">
      <c r="A22" s="101">
        <f>'E7'!B22</f>
        <v>840</v>
      </c>
      <c r="B22" s="99">
        <f>'E7'!C22</f>
        <v>23000</v>
      </c>
      <c r="C22" s="99">
        <f>'E7'!D22</f>
        <v>2660</v>
      </c>
      <c r="D22" s="99" t="str">
        <f>'E7'!E22</f>
        <v>CU YD</v>
      </c>
      <c r="E22" s="100" t="str">
        <f>'E7'!F22</f>
        <v>SELECT GRANULAR BACKFILL</v>
      </c>
      <c r="F22" s="105"/>
    </row>
    <row r="23" spans="1:6" x14ac:dyDescent="0.2">
      <c r="A23" s="101"/>
      <c r="B23" s="99"/>
      <c r="C23" s="99"/>
      <c r="D23" s="99"/>
      <c r="E23" s="100"/>
      <c r="F23" s="105"/>
    </row>
    <row r="24" spans="1:6" x14ac:dyDescent="0.2">
      <c r="A24" s="101">
        <f>'E7'!B24</f>
        <v>840</v>
      </c>
      <c r="B24" s="99">
        <f>'E7'!C24</f>
        <v>26000</v>
      </c>
      <c r="C24" s="99">
        <f>'E7'!D24</f>
        <v>97.2</v>
      </c>
      <c r="D24" s="99" t="str">
        <f>'E7'!E24</f>
        <v>FT</v>
      </c>
      <c r="E24" s="100" t="str">
        <f>'E7'!F24</f>
        <v>CONCRETE COPING</v>
      </c>
      <c r="F24" s="105"/>
    </row>
    <row r="25" spans="1:6" x14ac:dyDescent="0.2">
      <c r="A25" s="101">
        <f>'E7'!B25</f>
        <v>840</v>
      </c>
      <c r="B25" s="99">
        <f>'E7'!C25</f>
        <v>26050</v>
      </c>
      <c r="C25" s="99">
        <f>'E7'!D25</f>
        <v>2665</v>
      </c>
      <c r="D25" s="99" t="str">
        <f>'E7'!E25</f>
        <v>SQ FT</v>
      </c>
      <c r="E25" s="100" t="str">
        <f>'E7'!F25</f>
        <v>AESTHETIC SURFACE TREATMENT</v>
      </c>
      <c r="F25" s="105"/>
    </row>
    <row r="26" spans="1:6" x14ac:dyDescent="0.2">
      <c r="A26" s="101">
        <f>'E7'!B26</f>
        <v>840</v>
      </c>
      <c r="B26" s="99">
        <f>'E7'!C26</f>
        <v>27000</v>
      </c>
      <c r="C26" s="99">
        <f>'E7'!D26</f>
        <v>5</v>
      </c>
      <c r="D26" s="99" t="str">
        <f>'E7'!E26</f>
        <v>DAY</v>
      </c>
      <c r="E26" s="100" t="str">
        <f>'E7'!F26</f>
        <v>ON-SITE ASSISTANCE</v>
      </c>
      <c r="F26" s="105"/>
    </row>
    <row r="27" spans="1:6" hidden="1" x14ac:dyDescent="0.2">
      <c r="A27" s="101">
        <f>'E7'!B27</f>
        <v>840</v>
      </c>
      <c r="B27" s="99">
        <f>'E7'!C27</f>
        <v>28000</v>
      </c>
      <c r="C27" s="99" t="str">
        <f>'E7'!D27</f>
        <v>LS</v>
      </c>
      <c r="D27" s="99" t="str">
        <f>'E7'!E27</f>
        <v>LS</v>
      </c>
      <c r="E27" s="100" t="str">
        <f>'E7'!F27</f>
        <v>SGB INSPECTION AND COMPACTION TESTING</v>
      </c>
      <c r="F27" s="105"/>
    </row>
    <row r="28" spans="1:6" ht="13.5" thickBot="1" x14ac:dyDescent="0.25">
      <c r="A28" s="102"/>
      <c r="B28" s="103"/>
      <c r="C28" s="103"/>
      <c r="D28" s="103"/>
      <c r="E28" s="104"/>
      <c r="F28" s="154"/>
    </row>
    <row r="29" spans="1:6" x14ac:dyDescent="0.2">
      <c r="A29" s="97"/>
      <c r="B29" s="97"/>
      <c r="C29" s="97"/>
      <c r="D29" s="97"/>
      <c r="E29" s="98"/>
      <c r="F29" s="97"/>
    </row>
    <row r="31" spans="1:6" x14ac:dyDescent="0.2">
      <c r="A31" s="188" t="s">
        <v>142</v>
      </c>
      <c r="B31" s="188"/>
      <c r="C31" s="188"/>
      <c r="D31" s="188"/>
      <c r="E31" s="188"/>
      <c r="F31" s="188"/>
    </row>
    <row r="32" spans="1:6" ht="13.5" thickBot="1" x14ac:dyDescent="0.25"/>
    <row r="33" spans="1:11" x14ac:dyDescent="0.2">
      <c r="A33" s="171" t="s">
        <v>129</v>
      </c>
      <c r="B33" s="172"/>
      <c r="C33" s="172"/>
      <c r="D33" s="172"/>
      <c r="E33" s="173"/>
      <c r="F33" s="189" t="s">
        <v>30</v>
      </c>
    </row>
    <row r="34" spans="1:11" ht="13.5" thickBot="1" x14ac:dyDescent="0.25">
      <c r="A34" s="174"/>
      <c r="B34" s="175"/>
      <c r="C34" s="175"/>
      <c r="D34" s="175"/>
      <c r="E34" s="176"/>
      <c r="F34" s="190"/>
    </row>
    <row r="35" spans="1:11" x14ac:dyDescent="0.2">
      <c r="A35" s="192" t="s">
        <v>0</v>
      </c>
      <c r="B35" s="185" t="s">
        <v>4</v>
      </c>
      <c r="C35" s="185" t="s">
        <v>1</v>
      </c>
      <c r="D35" s="185" t="s">
        <v>2</v>
      </c>
      <c r="E35" s="185" t="s">
        <v>3</v>
      </c>
      <c r="F35" s="190"/>
    </row>
    <row r="36" spans="1:11" ht="13.5" thickBot="1" x14ac:dyDescent="0.25">
      <c r="A36" s="193"/>
      <c r="B36" s="186"/>
      <c r="C36" s="186"/>
      <c r="D36" s="186"/>
      <c r="E36" s="186"/>
      <c r="F36" s="191"/>
      <c r="H36" s="187" t="s">
        <v>144</v>
      </c>
      <c r="I36" s="187"/>
      <c r="J36" s="187"/>
      <c r="K36" s="187"/>
    </row>
    <row r="37" spans="1:11" x14ac:dyDescent="0.2">
      <c r="A37" s="5">
        <f>Quants!B35</f>
        <v>203</v>
      </c>
      <c r="B37" s="5" t="str">
        <f>Quants!C35</f>
        <v>02000</v>
      </c>
      <c r="C37" s="5">
        <f>Quants!D35</f>
        <v>7941</v>
      </c>
      <c r="D37" s="5" t="str">
        <f>Quants!E35</f>
        <v>CU YD</v>
      </c>
      <c r="E37" s="155" t="str">
        <f>Quants!F35</f>
        <v>SPECIAL - ENGINEERED FILL: LIGHTWEIGHT CELLULAR CONCRETE FILL, CLASS II</v>
      </c>
      <c r="F37" s="5"/>
      <c r="H37" s="187"/>
      <c r="I37" s="187"/>
      <c r="J37" s="187"/>
      <c r="K37" s="187"/>
    </row>
    <row r="38" spans="1:11" x14ac:dyDescent="0.2">
      <c r="A38" s="5">
        <f>Quants!B36</f>
        <v>203</v>
      </c>
      <c r="B38" s="5" t="str">
        <f>Quants!C36</f>
        <v>02000</v>
      </c>
      <c r="C38" s="5">
        <f>Quants!D36</f>
        <v>555</v>
      </c>
      <c r="D38" s="5" t="str">
        <f>Quants!E36</f>
        <v>CU YD</v>
      </c>
      <c r="E38" s="155" t="str">
        <f>Quants!F36</f>
        <v>SPECIAL - ENGINEERED FILL: LIGHTWEIGHT CELLULAR CONCRETE FILL, CLASS III</v>
      </c>
      <c r="F38" s="5"/>
      <c r="H38" s="187"/>
      <c r="I38" s="187"/>
      <c r="J38" s="187"/>
      <c r="K38" s="187"/>
    </row>
    <row r="39" spans="1:11" x14ac:dyDescent="0.2">
      <c r="A39" s="5">
        <f>Quants!B37</f>
        <v>203</v>
      </c>
      <c r="B39" s="5">
        <f>Quants!C37</f>
        <v>35110</v>
      </c>
      <c r="C39" s="5">
        <f>Quants!D37</f>
        <v>564</v>
      </c>
      <c r="D39" s="5" t="str">
        <f>Quants!E37</f>
        <v>CU YD</v>
      </c>
      <c r="E39" s="155" t="str">
        <f>Quants!F37</f>
        <v>GRANULAR MATERIAL, TYPE B</v>
      </c>
      <c r="F39" s="5"/>
      <c r="H39" s="187"/>
      <c r="I39" s="187"/>
      <c r="J39" s="187"/>
      <c r="K39" s="187"/>
    </row>
    <row r="40" spans="1:11" x14ac:dyDescent="0.2">
      <c r="A40" s="5">
        <f>Quants!B38</f>
        <v>203</v>
      </c>
      <c r="B40" s="5">
        <f>Quants!C38</f>
        <v>98000</v>
      </c>
      <c r="C40" s="5">
        <f>Quants!D38</f>
        <v>3117</v>
      </c>
      <c r="D40" s="5" t="str">
        <f>Quants!E38</f>
        <v>CU YD</v>
      </c>
      <c r="E40" s="155" t="str">
        <f>Quants!F38</f>
        <v>ROADWAY MISC.: EPS GEOFOAM FILL</v>
      </c>
      <c r="F40" s="5"/>
    </row>
    <row r="41" spans="1:11" ht="13.5" thickBot="1" x14ac:dyDescent="0.25">
      <c r="A41" s="156">
        <f>Quants!B39</f>
        <v>511</v>
      </c>
      <c r="B41" s="156">
        <f>Quants!C39</f>
        <v>53012</v>
      </c>
      <c r="C41" s="156">
        <f>Quants!D39</f>
        <v>87</v>
      </c>
      <c r="D41" s="156" t="str">
        <f>Quants!E39</f>
        <v>CU YD</v>
      </c>
      <c r="E41" s="157" t="str">
        <f>Quants!F39</f>
        <v>CLASS QC2 CONCRETE, MISC.: LOAD DISTRIBUTION SLAB</v>
      </c>
      <c r="F41" s="156"/>
    </row>
  </sheetData>
  <mergeCells count="17">
    <mergeCell ref="D35:D36"/>
    <mergeCell ref="E35:E36"/>
    <mergeCell ref="H5:K8"/>
    <mergeCell ref="H36:K39"/>
    <mergeCell ref="A31:F31"/>
    <mergeCell ref="A33:E34"/>
    <mergeCell ref="F33:F36"/>
    <mergeCell ref="A35:A36"/>
    <mergeCell ref="B35:B36"/>
    <mergeCell ref="C35:C36"/>
    <mergeCell ref="A1:E2"/>
    <mergeCell ref="F1:F4"/>
    <mergeCell ref="A3:A4"/>
    <mergeCell ref="B3:B4"/>
    <mergeCell ref="C3:C4"/>
    <mergeCell ref="D3:D4"/>
    <mergeCell ref="E3:E4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7"/>
  <sheetViews>
    <sheetView topLeftCell="A7" zoomScaleNormal="100" workbookViewId="0">
      <selection activeCell="E37" sqref="E37"/>
    </sheetView>
  </sheetViews>
  <sheetFormatPr defaultRowHeight="12.75" x14ac:dyDescent="0.2"/>
  <cols>
    <col min="1" max="1" width="7.85546875" bestFit="1" customWidth="1"/>
    <col min="2" max="3" width="13.85546875" bestFit="1" customWidth="1"/>
    <col min="4" max="4" width="8.85546875" bestFit="1" customWidth="1"/>
    <col min="5" max="5" width="7.140625" bestFit="1" customWidth="1"/>
    <col min="6" max="6" width="84" bestFit="1" customWidth="1"/>
    <col min="7" max="7" width="18.5703125" bestFit="1" customWidth="1"/>
    <col min="8" max="8" width="8.85546875" customWidth="1"/>
    <col min="13" max="15" width="9" customWidth="1"/>
  </cols>
  <sheetData>
    <row r="1" spans="1:7" ht="12.75" customHeight="1" x14ac:dyDescent="0.2">
      <c r="A1" s="107"/>
      <c r="B1" s="202" t="s">
        <v>29</v>
      </c>
      <c r="C1" s="203"/>
      <c r="D1" s="203"/>
      <c r="E1" s="203"/>
      <c r="F1" s="204"/>
      <c r="G1" s="208" t="s">
        <v>30</v>
      </c>
    </row>
    <row r="2" spans="1:7" ht="12.75" customHeight="1" thickBot="1" x14ac:dyDescent="0.25">
      <c r="A2" s="108"/>
      <c r="B2" s="205"/>
      <c r="C2" s="206"/>
      <c r="D2" s="206"/>
      <c r="E2" s="206"/>
      <c r="F2" s="207"/>
      <c r="G2" s="209"/>
    </row>
    <row r="3" spans="1:7" ht="12.75" customHeight="1" x14ac:dyDescent="0.2">
      <c r="A3" s="198" t="s">
        <v>61</v>
      </c>
      <c r="B3" s="200" t="s">
        <v>0</v>
      </c>
      <c r="C3" s="211" t="s">
        <v>4</v>
      </c>
      <c r="D3" s="211" t="s">
        <v>1</v>
      </c>
      <c r="E3" s="211" t="s">
        <v>2</v>
      </c>
      <c r="F3" s="200" t="s">
        <v>3</v>
      </c>
      <c r="G3" s="209"/>
    </row>
    <row r="4" spans="1:7" ht="13.5" customHeight="1" thickBot="1" x14ac:dyDescent="0.25">
      <c r="A4" s="199"/>
      <c r="B4" s="201"/>
      <c r="C4" s="212"/>
      <c r="D4" s="212"/>
      <c r="E4" s="212"/>
      <c r="F4" s="201"/>
      <c r="G4" s="210"/>
    </row>
    <row r="5" spans="1:7" s="48" customFormat="1" ht="13.5" customHeight="1" x14ac:dyDescent="0.2">
      <c r="A5" s="109" t="s">
        <v>8</v>
      </c>
      <c r="B5" s="110">
        <v>207</v>
      </c>
      <c r="C5" s="111">
        <v>11200</v>
      </c>
      <c r="D5" s="111" t="s">
        <v>8</v>
      </c>
      <c r="E5" s="111" t="s">
        <v>8</v>
      </c>
      <c r="F5" s="112" t="s">
        <v>81</v>
      </c>
      <c r="G5" s="113"/>
    </row>
    <row r="6" spans="1:7" x14ac:dyDescent="0.2">
      <c r="A6" s="114" t="e">
        <f>'E7'!#REF!</f>
        <v>#REF!</v>
      </c>
      <c r="B6" s="115">
        <v>203</v>
      </c>
      <c r="C6" s="115">
        <v>35110</v>
      </c>
      <c r="D6" s="115" t="e">
        <f>SUM(A6:A6)</f>
        <v>#REF!</v>
      </c>
      <c r="E6" s="116" t="s">
        <v>6</v>
      </c>
      <c r="F6" s="117" t="s">
        <v>63</v>
      </c>
      <c r="G6" s="115"/>
    </row>
    <row r="7" spans="1:7" x14ac:dyDescent="0.2">
      <c r="A7" s="114" t="e">
        <f>'E7'!#REF!</f>
        <v>#REF!</v>
      </c>
      <c r="B7" s="115">
        <v>203</v>
      </c>
      <c r="C7" s="115">
        <v>35120</v>
      </c>
      <c r="D7" s="115" t="e">
        <f>SUM(A7:A7)</f>
        <v>#REF!</v>
      </c>
      <c r="E7" s="116" t="s">
        <v>6</v>
      </c>
      <c r="F7" s="117" t="s">
        <v>64</v>
      </c>
      <c r="G7" s="115"/>
    </row>
    <row r="8" spans="1:7" x14ac:dyDescent="0.2">
      <c r="A8" s="114">
        <f>'E7'!D9</f>
        <v>3117</v>
      </c>
      <c r="B8" s="115">
        <v>203</v>
      </c>
      <c r="C8" s="115">
        <v>98000</v>
      </c>
      <c r="D8" s="115">
        <f>SUM(A8:A8)</f>
        <v>3117</v>
      </c>
      <c r="E8" s="116" t="s">
        <v>6</v>
      </c>
      <c r="F8" s="117" t="s">
        <v>80</v>
      </c>
      <c r="G8" s="115"/>
    </row>
    <row r="9" spans="1:7" x14ac:dyDescent="0.2">
      <c r="A9" s="114" t="e">
        <f>'E7'!#REF!</f>
        <v>#REF!</v>
      </c>
      <c r="B9" s="115">
        <v>203</v>
      </c>
      <c r="C9" s="115">
        <v>98000</v>
      </c>
      <c r="D9" s="115" t="e">
        <f>SUM(A9:A9)</f>
        <v>#REF!</v>
      </c>
      <c r="E9" s="116" t="s">
        <v>6</v>
      </c>
      <c r="F9" s="117" t="s">
        <v>93</v>
      </c>
      <c r="G9" s="115"/>
    </row>
    <row r="10" spans="1:7" x14ac:dyDescent="0.2">
      <c r="A10" s="114"/>
      <c r="B10" s="115"/>
      <c r="C10" s="115"/>
      <c r="D10" s="115"/>
      <c r="E10" s="116"/>
      <c r="F10" s="117"/>
      <c r="G10" s="115"/>
    </row>
    <row r="11" spans="1:7" x14ac:dyDescent="0.2">
      <c r="A11" s="114">
        <f>'E7'!D11</f>
        <v>2</v>
      </c>
      <c r="B11" s="115" t="s">
        <v>7</v>
      </c>
      <c r="C11" s="115">
        <v>20365000</v>
      </c>
      <c r="D11" s="115">
        <f>SUM(A11:A11)</f>
        <v>2</v>
      </c>
      <c r="E11" s="116" t="s">
        <v>37</v>
      </c>
      <c r="F11" s="117" t="s">
        <v>65</v>
      </c>
      <c r="G11" s="115"/>
    </row>
    <row r="12" spans="1:7" x14ac:dyDescent="0.2">
      <c r="A12" s="114"/>
      <c r="B12" s="118"/>
      <c r="C12" s="118"/>
      <c r="D12" s="115"/>
      <c r="E12" s="119"/>
      <c r="F12" s="120"/>
      <c r="G12" s="118"/>
    </row>
    <row r="13" spans="1:7" x14ac:dyDescent="0.2">
      <c r="A13" s="114" t="e">
        <f>'E7'!#REF!</f>
        <v>#REF!</v>
      </c>
      <c r="B13" s="118" t="e">
        <f>'E7'!#REF!</f>
        <v>#REF!</v>
      </c>
      <c r="C13" s="118" t="e">
        <f>'E7'!#REF!</f>
        <v>#REF!</v>
      </c>
      <c r="D13" s="118" t="e">
        <f>'E7'!#REF!</f>
        <v>#REF!</v>
      </c>
      <c r="E13" s="118" t="e">
        <f>'E7'!#REF!</f>
        <v>#REF!</v>
      </c>
      <c r="F13" s="121" t="e">
        <f>'E7'!#REF!</f>
        <v>#REF!</v>
      </c>
      <c r="G13" s="118"/>
    </row>
    <row r="14" spans="1:7" x14ac:dyDescent="0.2">
      <c r="A14" s="114" t="e">
        <f>'E7'!#REF!</f>
        <v>#REF!</v>
      </c>
      <c r="B14" s="118" t="e">
        <f>'E7'!#REF!</f>
        <v>#REF!</v>
      </c>
      <c r="C14" s="118" t="e">
        <f>'E7'!#REF!</f>
        <v>#REF!</v>
      </c>
      <c r="D14" s="118" t="e">
        <f>'E7'!#REF!</f>
        <v>#REF!</v>
      </c>
      <c r="E14" s="118" t="e">
        <f>'E7'!#REF!</f>
        <v>#REF!</v>
      </c>
      <c r="F14" s="121" t="e">
        <f>'E7'!#REF!</f>
        <v>#REF!</v>
      </c>
      <c r="G14" s="118"/>
    </row>
    <row r="15" spans="1:7" x14ac:dyDescent="0.2">
      <c r="A15" s="114">
        <f>'E7'!D13</f>
        <v>87</v>
      </c>
      <c r="B15" s="118">
        <v>511</v>
      </c>
      <c r="C15" s="118">
        <v>53012</v>
      </c>
      <c r="D15" s="118">
        <f>A15</f>
        <v>87</v>
      </c>
      <c r="E15" s="119" t="s">
        <v>6</v>
      </c>
      <c r="F15" s="120" t="s">
        <v>96</v>
      </c>
      <c r="G15" s="118"/>
    </row>
    <row r="16" spans="1:7" ht="12.75" customHeight="1" x14ac:dyDescent="0.2">
      <c r="A16" s="114" t="e">
        <f>'E7'!#REF!</f>
        <v>#REF!</v>
      </c>
      <c r="B16" s="118">
        <v>512</v>
      </c>
      <c r="C16" s="118">
        <v>10001</v>
      </c>
      <c r="D16" s="115" t="e">
        <f>A16</f>
        <v>#REF!</v>
      </c>
      <c r="E16" s="119" t="s">
        <v>9</v>
      </c>
      <c r="F16" s="120" t="s">
        <v>78</v>
      </c>
      <c r="G16" s="118"/>
    </row>
    <row r="17" spans="1:7" ht="12.75" customHeight="1" x14ac:dyDescent="0.2">
      <c r="A17" s="114">
        <f>'E7'!D15</f>
        <v>281</v>
      </c>
      <c r="B17" s="118">
        <f>IF(VOID!E7=0, "", VOID!E7)</f>
        <v>512</v>
      </c>
      <c r="C17" s="118">
        <v>10100</v>
      </c>
      <c r="D17" s="115">
        <f>SUM(A17:A17)</f>
        <v>281</v>
      </c>
      <c r="E17" s="119" t="str">
        <f>IF(VOID!H7=0, "", VOID!H7)</f>
        <v>SQ YD</v>
      </c>
      <c r="F17" s="120" t="s">
        <v>79</v>
      </c>
      <c r="G17" s="118"/>
    </row>
    <row r="18" spans="1:7" ht="12.75" hidden="1" customHeight="1" x14ac:dyDescent="0.2">
      <c r="A18" s="114">
        <f>'E7'!D16</f>
        <v>68</v>
      </c>
      <c r="B18" s="118">
        <v>517</v>
      </c>
      <c r="C18" s="118">
        <v>74501</v>
      </c>
      <c r="D18" s="115">
        <f>SUM(A18:A18)</f>
        <v>68</v>
      </c>
      <c r="E18" s="119" t="s">
        <v>10</v>
      </c>
      <c r="F18" s="120" t="s">
        <v>66</v>
      </c>
      <c r="G18" s="118"/>
    </row>
    <row r="19" spans="1:7" ht="12.75" customHeight="1" x14ac:dyDescent="0.2">
      <c r="A19" s="114"/>
      <c r="B19" s="118"/>
      <c r="C19" s="118"/>
      <c r="D19" s="115"/>
      <c r="E19" s="119"/>
      <c r="F19" s="120"/>
      <c r="G19" s="118"/>
    </row>
    <row r="20" spans="1:7" ht="12.75" customHeight="1" x14ac:dyDescent="0.2">
      <c r="A20" s="114">
        <f>'E7'!D19</f>
        <v>2906</v>
      </c>
      <c r="B20" s="118">
        <v>840</v>
      </c>
      <c r="C20" s="118">
        <v>20001</v>
      </c>
      <c r="D20" s="115">
        <f>SUM(A20:A20)</f>
        <v>2906</v>
      </c>
      <c r="E20" s="119" t="s">
        <v>11</v>
      </c>
      <c r="F20" s="120" t="s">
        <v>67</v>
      </c>
      <c r="G20" s="118"/>
    </row>
    <row r="21" spans="1:7" ht="12.75" customHeight="1" x14ac:dyDescent="0.2">
      <c r="A21" s="114">
        <f>'E7'!D20</f>
        <v>1300</v>
      </c>
      <c r="B21" s="118">
        <v>840</v>
      </c>
      <c r="C21" s="118">
        <v>21000</v>
      </c>
      <c r="D21" s="115">
        <f>SUM(A21:A21)</f>
        <v>1300</v>
      </c>
      <c r="E21" s="119" t="s">
        <v>6</v>
      </c>
      <c r="F21" s="120" t="s">
        <v>68</v>
      </c>
      <c r="G21" s="118"/>
    </row>
    <row r="22" spans="1:7" ht="12.75" customHeight="1" x14ac:dyDescent="0.2">
      <c r="A22" s="114">
        <f>'E7'!D22</f>
        <v>2660</v>
      </c>
      <c r="B22" s="118">
        <v>840</v>
      </c>
      <c r="C22" s="118">
        <v>23000</v>
      </c>
      <c r="D22" s="115">
        <f>SUM(A22:A22)</f>
        <v>2660</v>
      </c>
      <c r="E22" s="119" t="s">
        <v>6</v>
      </c>
      <c r="F22" s="120" t="s">
        <v>70</v>
      </c>
      <c r="G22" s="118"/>
    </row>
    <row r="23" spans="1:7" ht="12.75" customHeight="1" x14ac:dyDescent="0.2">
      <c r="A23" s="114" t="e">
        <f>'E7'!#REF!</f>
        <v>#REF!</v>
      </c>
      <c r="B23" s="118">
        <v>840</v>
      </c>
      <c r="C23" s="118">
        <v>25010</v>
      </c>
      <c r="D23" s="115" t="e">
        <f>SUM(A23:A23)</f>
        <v>#REF!</v>
      </c>
      <c r="E23" s="119" t="s">
        <v>10</v>
      </c>
      <c r="F23" s="120" t="s">
        <v>71</v>
      </c>
      <c r="G23" s="118"/>
    </row>
    <row r="24" spans="1:7" ht="12.75" customHeight="1" x14ac:dyDescent="0.2">
      <c r="A24" s="114">
        <f>'E7'!D24</f>
        <v>97.2</v>
      </c>
      <c r="B24" s="118">
        <v>840</v>
      </c>
      <c r="C24" s="118">
        <v>26000</v>
      </c>
      <c r="D24" s="115">
        <f>SUM(A24:A24)</f>
        <v>97.2</v>
      </c>
      <c r="E24" s="119" t="s">
        <v>10</v>
      </c>
      <c r="F24" s="120" t="s">
        <v>73</v>
      </c>
      <c r="G24" s="118"/>
    </row>
    <row r="25" spans="1:7" ht="12.75" customHeight="1" x14ac:dyDescent="0.2">
      <c r="A25" s="114"/>
      <c r="B25" s="118"/>
      <c r="C25" s="118"/>
      <c r="D25" s="115"/>
      <c r="E25" s="119"/>
      <c r="F25" s="120"/>
      <c r="G25" s="118"/>
    </row>
    <row r="26" spans="1:7" ht="12.75" customHeight="1" x14ac:dyDescent="0.2">
      <c r="A26" s="114">
        <f>'E7'!D25</f>
        <v>2665</v>
      </c>
      <c r="B26" s="118">
        <v>840</v>
      </c>
      <c r="C26" s="118">
        <v>26050</v>
      </c>
      <c r="D26" s="115">
        <f>SUM(A26:A26)</f>
        <v>2665</v>
      </c>
      <c r="E26" s="119" t="s">
        <v>11</v>
      </c>
      <c r="F26" s="120" t="s">
        <v>77</v>
      </c>
      <c r="G26" s="118"/>
    </row>
    <row r="27" spans="1:7" ht="13.5" thickBot="1" x14ac:dyDescent="0.25">
      <c r="A27" s="122"/>
      <c r="B27" s="123" t="str">
        <f>IF(VOID!E22=0, "", VOID!E22)</f>
        <v/>
      </c>
      <c r="C27" s="123" t="str">
        <f>IF(VOID!F22=0, "", VOID!F22)</f>
        <v/>
      </c>
      <c r="D27" s="123" t="str">
        <f>IF(VOID!G22=0, "", VOID!G22)</f>
        <v/>
      </c>
      <c r="E27" s="124" t="str">
        <f>IF(VOID!H22=0, "", VOID!H22)</f>
        <v/>
      </c>
      <c r="F27" s="125" t="str">
        <f>IF(VOID!I22=0, "", VOID!I22)</f>
        <v/>
      </c>
      <c r="G27" s="123" t="str">
        <f>IF(VOID!J22=0, "", VOID!J22)</f>
        <v/>
      </c>
    </row>
    <row r="30" spans="1:7" ht="12.75" customHeight="1" thickBot="1" x14ac:dyDescent="0.25"/>
    <row r="31" spans="1:7" ht="13.5" customHeight="1" x14ac:dyDescent="0.2">
      <c r="B31" s="171" t="s">
        <v>129</v>
      </c>
      <c r="C31" s="172"/>
      <c r="D31" s="172"/>
      <c r="E31" s="172"/>
      <c r="F31" s="173"/>
      <c r="G31" s="177" t="s">
        <v>30</v>
      </c>
    </row>
    <row r="32" spans="1:7" ht="13.5" thickBot="1" x14ac:dyDescent="0.25">
      <c r="B32" s="174"/>
      <c r="C32" s="175"/>
      <c r="D32" s="175"/>
      <c r="E32" s="175"/>
      <c r="F32" s="176"/>
      <c r="G32" s="178"/>
    </row>
    <row r="33" spans="1:7" x14ac:dyDescent="0.2">
      <c r="B33" s="195" t="s">
        <v>0</v>
      </c>
      <c r="C33" s="196" t="s">
        <v>4</v>
      </c>
      <c r="D33" s="196" t="s">
        <v>1</v>
      </c>
      <c r="E33" s="196" t="s">
        <v>2</v>
      </c>
      <c r="F33" s="195" t="s">
        <v>3</v>
      </c>
      <c r="G33" s="178"/>
    </row>
    <row r="34" spans="1:7" ht="13.5" thickBot="1" x14ac:dyDescent="0.25">
      <c r="B34" s="193"/>
      <c r="C34" s="197"/>
      <c r="D34" s="197"/>
      <c r="E34" s="197"/>
      <c r="F34" s="193"/>
      <c r="G34" s="194"/>
    </row>
    <row r="35" spans="1:7" ht="15" x14ac:dyDescent="0.2">
      <c r="B35" s="5">
        <v>203</v>
      </c>
      <c r="C35" s="85" t="s">
        <v>103</v>
      </c>
      <c r="D35" s="69">
        <f>C79</f>
        <v>7941</v>
      </c>
      <c r="E35" s="65" t="s">
        <v>6</v>
      </c>
      <c r="F35" s="43" t="s">
        <v>104</v>
      </c>
      <c r="G35" s="89"/>
    </row>
    <row r="36" spans="1:7" ht="15" x14ac:dyDescent="0.2">
      <c r="B36" s="5">
        <v>203</v>
      </c>
      <c r="C36" s="85" t="s">
        <v>103</v>
      </c>
      <c r="D36" s="69">
        <f>C106</f>
        <v>555</v>
      </c>
      <c r="E36" s="65" t="s">
        <v>6</v>
      </c>
      <c r="F36" s="43" t="s">
        <v>105</v>
      </c>
      <c r="G36" s="89"/>
    </row>
    <row r="37" spans="1:7" x14ac:dyDescent="0.2">
      <c r="B37" s="5">
        <v>203</v>
      </c>
      <c r="C37" s="5">
        <v>35110</v>
      </c>
      <c r="D37" s="5">
        <f>C42</f>
        <v>564</v>
      </c>
      <c r="E37" s="44" t="s">
        <v>6</v>
      </c>
      <c r="F37" s="43" t="s">
        <v>63</v>
      </c>
      <c r="G37" s="36"/>
    </row>
    <row r="38" spans="1:7" x14ac:dyDescent="0.2">
      <c r="B38" s="5">
        <v>203</v>
      </c>
      <c r="C38" s="5">
        <v>98000</v>
      </c>
      <c r="D38" s="5">
        <f>C61</f>
        <v>3117</v>
      </c>
      <c r="E38" s="44" t="s">
        <v>6</v>
      </c>
      <c r="F38" s="43" t="s">
        <v>80</v>
      </c>
      <c r="G38" s="36"/>
    </row>
    <row r="39" spans="1:7" x14ac:dyDescent="0.2">
      <c r="B39" s="4">
        <v>511</v>
      </c>
      <c r="C39" s="4">
        <v>53012</v>
      </c>
      <c r="D39" s="4">
        <f>C123</f>
        <v>87</v>
      </c>
      <c r="E39" s="47" t="s">
        <v>6</v>
      </c>
      <c r="F39" s="46" t="s">
        <v>96</v>
      </c>
      <c r="G39" s="37"/>
    </row>
    <row r="41" spans="1:7" x14ac:dyDescent="0.2">
      <c r="A41" s="1"/>
      <c r="B41" s="1"/>
      <c r="C41" s="1"/>
      <c r="D41" s="1"/>
      <c r="E41" s="1"/>
      <c r="F41" s="2"/>
      <c r="G41" s="1"/>
    </row>
    <row r="42" spans="1:7" x14ac:dyDescent="0.2">
      <c r="A42" s="50">
        <v>203</v>
      </c>
      <c r="B42" s="50">
        <v>35110</v>
      </c>
      <c r="C42" s="50">
        <f>ROUNDUP(C57/27,)</f>
        <v>564</v>
      </c>
      <c r="D42" s="51" t="s">
        <v>6</v>
      </c>
      <c r="E42" s="50"/>
      <c r="F42" s="54" t="s">
        <v>63</v>
      </c>
      <c r="G42" s="1" t="s">
        <v>58</v>
      </c>
    </row>
    <row r="43" spans="1:7" x14ac:dyDescent="0.2">
      <c r="A43" s="21"/>
      <c r="B43" s="21"/>
      <c r="C43" s="21"/>
      <c r="D43" s="52"/>
      <c r="E43" s="21"/>
      <c r="F43" s="55"/>
      <c r="G43" s="1"/>
    </row>
    <row r="44" spans="1:7" ht="15" x14ac:dyDescent="0.25">
      <c r="A44" s="21"/>
      <c r="B44" s="21"/>
      <c r="C44" s="84">
        <v>2740</v>
      </c>
      <c r="D44" s="40" t="s">
        <v>11</v>
      </c>
      <c r="E44" s="1"/>
      <c r="F44" s="39" t="s">
        <v>131</v>
      </c>
      <c r="G44" s="1"/>
    </row>
    <row r="45" spans="1:7" ht="15" x14ac:dyDescent="0.25">
      <c r="A45" s="21"/>
      <c r="B45" s="21"/>
      <c r="C45" s="84">
        <v>1.25</v>
      </c>
      <c r="D45" s="40" t="s">
        <v>10</v>
      </c>
      <c r="E45" s="1"/>
      <c r="F45" s="39" t="s">
        <v>130</v>
      </c>
      <c r="G45" s="1"/>
    </row>
    <row r="46" spans="1:7" ht="15" x14ac:dyDescent="0.25">
      <c r="A46" s="21"/>
      <c r="B46" s="21"/>
      <c r="C46" s="62">
        <f>C44*C45</f>
        <v>3425</v>
      </c>
      <c r="D46" s="40" t="s">
        <v>83</v>
      </c>
      <c r="E46" s="1"/>
      <c r="F46" s="39" t="s">
        <v>84</v>
      </c>
      <c r="G46" s="1"/>
    </row>
    <row r="47" spans="1:7" ht="15" x14ac:dyDescent="0.25">
      <c r="A47" s="21"/>
      <c r="B47" s="21"/>
      <c r="C47" s="84">
        <v>5312</v>
      </c>
      <c r="D47" s="40" t="s">
        <v>11</v>
      </c>
      <c r="E47" s="1"/>
      <c r="F47" s="39" t="s">
        <v>137</v>
      </c>
      <c r="G47" s="1"/>
    </row>
    <row r="48" spans="1:7" ht="15" x14ac:dyDescent="0.25">
      <c r="A48" s="21"/>
      <c r="B48" s="21"/>
      <c r="C48" s="84">
        <v>1.25</v>
      </c>
      <c r="D48" s="40" t="s">
        <v>10</v>
      </c>
      <c r="E48" s="1"/>
      <c r="F48" s="39" t="s">
        <v>130</v>
      </c>
      <c r="G48" s="1"/>
    </row>
    <row r="49" spans="1:7" ht="15" x14ac:dyDescent="0.25">
      <c r="A49" s="21"/>
      <c r="B49" s="21"/>
      <c r="C49" s="62">
        <f>C47*C48</f>
        <v>6640</v>
      </c>
      <c r="D49" s="40" t="s">
        <v>83</v>
      </c>
      <c r="E49" s="1"/>
      <c r="F49" s="39" t="s">
        <v>84</v>
      </c>
      <c r="G49" s="1"/>
    </row>
    <row r="50" spans="1:7" ht="15" x14ac:dyDescent="0.25">
      <c r="A50" s="21"/>
      <c r="B50" s="21"/>
      <c r="C50" s="84">
        <v>4675</v>
      </c>
      <c r="D50" s="40" t="s">
        <v>11</v>
      </c>
      <c r="E50" s="1"/>
      <c r="F50" s="39" t="s">
        <v>132</v>
      </c>
      <c r="G50" s="1"/>
    </row>
    <row r="51" spans="1:7" ht="15" x14ac:dyDescent="0.25">
      <c r="A51" s="21"/>
      <c r="B51" s="21"/>
      <c r="C51" s="84">
        <v>1.25</v>
      </c>
      <c r="D51" s="40" t="s">
        <v>10</v>
      </c>
      <c r="E51" s="1"/>
      <c r="F51" s="39" t="s">
        <v>130</v>
      </c>
      <c r="G51" s="1"/>
    </row>
    <row r="52" spans="1:7" ht="15" x14ac:dyDescent="0.25">
      <c r="A52" s="21"/>
      <c r="B52" s="21"/>
      <c r="C52" s="62">
        <f>C50*C51</f>
        <v>5843.75</v>
      </c>
      <c r="D52" s="40" t="s">
        <v>83</v>
      </c>
      <c r="E52" s="1"/>
      <c r="F52" s="39" t="s">
        <v>84</v>
      </c>
      <c r="G52" s="1"/>
    </row>
    <row r="53" spans="1:7" ht="15" x14ac:dyDescent="0.25">
      <c r="A53" s="21"/>
      <c r="B53" s="21"/>
      <c r="C53" s="94">
        <v>2179.1799999999998</v>
      </c>
      <c r="D53" s="40" t="s">
        <v>11</v>
      </c>
      <c r="E53" s="1"/>
      <c r="F53" s="39" t="s">
        <v>136</v>
      </c>
      <c r="G53" s="1"/>
    </row>
    <row r="54" spans="1:7" ht="15" x14ac:dyDescent="0.25">
      <c r="A54" s="21"/>
      <c r="B54" s="21"/>
      <c r="C54" s="94">
        <f>1.25</f>
        <v>1.25</v>
      </c>
      <c r="D54" s="40" t="s">
        <v>10</v>
      </c>
      <c r="E54" s="1"/>
      <c r="F54" s="39" t="s">
        <v>130</v>
      </c>
      <c r="G54" s="1"/>
    </row>
    <row r="55" spans="1:7" ht="15" x14ac:dyDescent="0.25">
      <c r="A55" s="21"/>
      <c r="B55" s="21"/>
      <c r="C55" s="95">
        <f>C53*C54</f>
        <v>2723.9749999999999</v>
      </c>
      <c r="D55" s="40" t="s">
        <v>83</v>
      </c>
      <c r="E55" s="1"/>
      <c r="F55" s="39" t="s">
        <v>84</v>
      </c>
      <c r="G55" s="1"/>
    </row>
    <row r="56" spans="1:7" x14ac:dyDescent="0.2">
      <c r="A56" s="21"/>
      <c r="B56" s="21"/>
      <c r="D56" s="40"/>
      <c r="E56" s="1"/>
      <c r="F56" s="39"/>
      <c r="G56" s="1"/>
    </row>
    <row r="57" spans="1:7" x14ac:dyDescent="0.2">
      <c r="A57" s="21"/>
      <c r="B57" s="21"/>
      <c r="C57" s="63">
        <f>C49+C52+C55</f>
        <v>15207.725</v>
      </c>
      <c r="D57" s="40" t="s">
        <v>83</v>
      </c>
      <c r="E57" s="1"/>
      <c r="F57" s="39" t="s">
        <v>122</v>
      </c>
      <c r="G57" s="1"/>
    </row>
    <row r="58" spans="1:7" x14ac:dyDescent="0.2">
      <c r="A58" s="21"/>
      <c r="B58" s="21"/>
      <c r="C58" s="21"/>
      <c r="D58" s="21"/>
      <c r="E58" s="21"/>
      <c r="F58" s="23"/>
      <c r="G58" s="1"/>
    </row>
    <row r="59" spans="1:7" x14ac:dyDescent="0.2">
      <c r="A59" s="21"/>
      <c r="B59" s="21"/>
      <c r="C59" s="21"/>
      <c r="D59" s="21"/>
      <c r="E59" s="21"/>
      <c r="F59" s="23"/>
      <c r="G59" s="1"/>
    </row>
    <row r="60" spans="1:7" x14ac:dyDescent="0.2">
      <c r="A60" s="1"/>
      <c r="B60" s="1"/>
      <c r="C60" s="1"/>
      <c r="D60" s="40"/>
      <c r="E60" s="1"/>
      <c r="F60" s="39"/>
      <c r="G60" s="1"/>
    </row>
    <row r="61" spans="1:7" x14ac:dyDescent="0.2">
      <c r="A61" s="57">
        <v>203</v>
      </c>
      <c r="B61" s="57">
        <v>98000</v>
      </c>
      <c r="C61" s="57">
        <f>ROUNDUP(C76/27,)</f>
        <v>3117</v>
      </c>
      <c r="D61" s="53" t="s">
        <v>6</v>
      </c>
      <c r="E61" s="58"/>
      <c r="F61" s="49" t="s">
        <v>80</v>
      </c>
      <c r="G61" s="1" t="s">
        <v>58</v>
      </c>
    </row>
    <row r="62" spans="1:7" x14ac:dyDescent="0.2">
      <c r="A62" s="1"/>
      <c r="B62" s="1"/>
      <c r="C62" s="1"/>
      <c r="D62" s="40"/>
      <c r="E62" s="1"/>
      <c r="F62" s="39"/>
      <c r="G62" s="1"/>
    </row>
    <row r="63" spans="1:7" ht="15" x14ac:dyDescent="0.25">
      <c r="A63" s="21"/>
      <c r="B63" s="21"/>
      <c r="C63" s="84">
        <v>0</v>
      </c>
      <c r="D63" s="40" t="s">
        <v>11</v>
      </c>
      <c r="E63" s="1"/>
      <c r="F63" s="39" t="s">
        <v>131</v>
      </c>
      <c r="G63" s="1"/>
    </row>
    <row r="64" spans="1:7" ht="15" x14ac:dyDescent="0.25">
      <c r="A64" s="21"/>
      <c r="B64" s="21"/>
      <c r="C64" s="84">
        <v>0</v>
      </c>
      <c r="D64" s="40" t="s">
        <v>10</v>
      </c>
      <c r="E64" s="1"/>
      <c r="F64" s="39" t="s">
        <v>130</v>
      </c>
      <c r="G64" s="1"/>
    </row>
    <row r="65" spans="1:7" ht="15" x14ac:dyDescent="0.25">
      <c r="A65" s="21"/>
      <c r="B65" s="21"/>
      <c r="C65" s="62">
        <f>C63*C64</f>
        <v>0</v>
      </c>
      <c r="D65" s="40" t="s">
        <v>83</v>
      </c>
      <c r="E65" s="1"/>
      <c r="F65" s="39" t="s">
        <v>84</v>
      </c>
      <c r="G65" s="1"/>
    </row>
    <row r="66" spans="1:7" ht="15" x14ac:dyDescent="0.25">
      <c r="A66" s="21"/>
      <c r="B66" s="21"/>
      <c r="C66" s="84">
        <v>0</v>
      </c>
      <c r="D66" s="40" t="s">
        <v>11</v>
      </c>
      <c r="E66" s="1"/>
      <c r="F66" s="39" t="s">
        <v>134</v>
      </c>
      <c r="G66" s="1"/>
    </row>
    <row r="67" spans="1:7" ht="15" x14ac:dyDescent="0.25">
      <c r="A67" s="21"/>
      <c r="B67" s="21"/>
      <c r="C67" s="84">
        <v>0</v>
      </c>
      <c r="D67" s="40" t="s">
        <v>10</v>
      </c>
      <c r="E67" s="1"/>
      <c r="F67" s="39" t="s">
        <v>130</v>
      </c>
      <c r="G67" s="1"/>
    </row>
    <row r="68" spans="1:7" ht="15" x14ac:dyDescent="0.25">
      <c r="A68" s="21"/>
      <c r="B68" s="21"/>
      <c r="C68" s="62">
        <f>C66*C67</f>
        <v>0</v>
      </c>
      <c r="D68" s="40" t="s">
        <v>83</v>
      </c>
      <c r="E68" s="1"/>
      <c r="F68" s="39" t="s">
        <v>84</v>
      </c>
      <c r="G68" s="1"/>
    </row>
    <row r="69" spans="1:7" ht="15" x14ac:dyDescent="0.25">
      <c r="A69" s="21"/>
      <c r="B69" s="21"/>
      <c r="C69" s="84">
        <v>4675</v>
      </c>
      <c r="D69" s="40" t="s">
        <v>11</v>
      </c>
      <c r="E69" s="1"/>
      <c r="F69" s="39" t="s">
        <v>132</v>
      </c>
      <c r="G69" s="1"/>
    </row>
    <row r="70" spans="1:7" ht="15" x14ac:dyDescent="0.25">
      <c r="A70" s="21"/>
      <c r="B70" s="21"/>
      <c r="C70" s="84">
        <v>18</v>
      </c>
      <c r="D70" s="40" t="s">
        <v>10</v>
      </c>
      <c r="E70" s="1"/>
      <c r="F70" s="39" t="s">
        <v>130</v>
      </c>
      <c r="G70" s="1"/>
    </row>
    <row r="71" spans="1:7" ht="15" x14ac:dyDescent="0.25">
      <c r="A71" s="21"/>
      <c r="B71" s="21"/>
      <c r="C71" s="62">
        <f>C69*C70</f>
        <v>84150</v>
      </c>
      <c r="D71" s="40" t="s">
        <v>83</v>
      </c>
      <c r="E71" s="1"/>
      <c r="F71" s="39" t="s">
        <v>84</v>
      </c>
      <c r="G71" s="1"/>
    </row>
    <row r="72" spans="1:7" ht="15" x14ac:dyDescent="0.25">
      <c r="A72" s="21"/>
      <c r="B72" s="21"/>
      <c r="C72" s="84">
        <v>0</v>
      </c>
      <c r="D72" s="40" t="s">
        <v>11</v>
      </c>
      <c r="E72" s="1"/>
      <c r="F72" s="39" t="s">
        <v>133</v>
      </c>
      <c r="G72" s="1"/>
    </row>
    <row r="73" spans="1:7" ht="15" x14ac:dyDescent="0.25">
      <c r="A73" s="21"/>
      <c r="B73" s="21"/>
      <c r="C73" s="84">
        <v>0</v>
      </c>
      <c r="D73" s="40" t="s">
        <v>10</v>
      </c>
      <c r="E73" s="1"/>
      <c r="F73" s="39" t="s">
        <v>130</v>
      </c>
      <c r="G73" s="1"/>
    </row>
    <row r="74" spans="1:7" ht="15" x14ac:dyDescent="0.25">
      <c r="A74" s="21"/>
      <c r="B74" s="21"/>
      <c r="C74" s="62">
        <f>C72*C73</f>
        <v>0</v>
      </c>
      <c r="D74" s="40" t="s">
        <v>83</v>
      </c>
      <c r="E74" s="1"/>
      <c r="F74" s="39" t="s">
        <v>84</v>
      </c>
      <c r="G74" s="1"/>
    </row>
    <row r="75" spans="1:7" x14ac:dyDescent="0.2">
      <c r="A75" s="21"/>
      <c r="B75" s="21"/>
      <c r="D75" s="40"/>
      <c r="E75" s="1"/>
      <c r="F75" s="39"/>
      <c r="G75" s="1"/>
    </row>
    <row r="76" spans="1:7" x14ac:dyDescent="0.2">
      <c r="A76" s="21"/>
      <c r="B76" s="21"/>
      <c r="C76" s="63">
        <f>C65+C68+C71+C74</f>
        <v>84150</v>
      </c>
      <c r="D76" s="40" t="s">
        <v>83</v>
      </c>
      <c r="E76" s="1"/>
      <c r="F76" s="39" t="s">
        <v>122</v>
      </c>
      <c r="G76" s="1"/>
    </row>
    <row r="77" spans="1:7" x14ac:dyDescent="0.2">
      <c r="A77" s="21"/>
      <c r="B77" s="21"/>
      <c r="C77" s="25"/>
      <c r="D77" s="52"/>
      <c r="E77" s="21"/>
      <c r="F77" s="55"/>
      <c r="G77" s="1"/>
    </row>
    <row r="78" spans="1:7" x14ac:dyDescent="0.2">
      <c r="A78" s="1"/>
      <c r="B78" s="1"/>
      <c r="C78" s="1"/>
      <c r="D78" s="40"/>
      <c r="E78" s="1"/>
      <c r="F78" s="39"/>
      <c r="G78" s="1"/>
    </row>
    <row r="79" spans="1:7" x14ac:dyDescent="0.2">
      <c r="A79" s="57">
        <v>203</v>
      </c>
      <c r="B79" s="53" t="s">
        <v>103</v>
      </c>
      <c r="C79" s="57">
        <f>ROUNDUP(C103/27,)</f>
        <v>7941</v>
      </c>
      <c r="D79" s="53" t="s">
        <v>6</v>
      </c>
      <c r="E79" s="58"/>
      <c r="F79" s="49" t="s">
        <v>106</v>
      </c>
      <c r="G79" s="1" t="s">
        <v>58</v>
      </c>
    </row>
    <row r="80" spans="1:7" x14ac:dyDescent="0.2">
      <c r="A80" s="1"/>
      <c r="B80" s="1"/>
      <c r="C80" s="1"/>
      <c r="D80" s="40"/>
      <c r="E80" s="1"/>
      <c r="F80" s="39"/>
      <c r="G80" s="1"/>
    </row>
    <row r="81" spans="1:7" ht="15" x14ac:dyDescent="0.25">
      <c r="A81" s="21"/>
      <c r="B81" s="21"/>
      <c r="C81" s="84">
        <f>C44</f>
        <v>2740</v>
      </c>
      <c r="D81" s="40" t="s">
        <v>11</v>
      </c>
      <c r="E81" s="1"/>
      <c r="F81" s="39" t="s">
        <v>131</v>
      </c>
      <c r="G81" s="1"/>
    </row>
    <row r="82" spans="1:7" ht="15" x14ac:dyDescent="0.25">
      <c r="A82" s="21"/>
      <c r="B82" s="21"/>
      <c r="C82" s="84">
        <v>43</v>
      </c>
      <c r="D82" s="40" t="s">
        <v>10</v>
      </c>
      <c r="E82" s="1"/>
      <c r="F82" s="39" t="s">
        <v>130</v>
      </c>
      <c r="G82" s="1"/>
    </row>
    <row r="83" spans="1:7" ht="15" x14ac:dyDescent="0.25">
      <c r="A83" s="21"/>
      <c r="B83" s="21"/>
      <c r="C83" s="62">
        <f>C81*C82</f>
        <v>117820</v>
      </c>
      <c r="D83" s="40" t="s">
        <v>83</v>
      </c>
      <c r="E83" s="1"/>
      <c r="F83" s="39" t="s">
        <v>84</v>
      </c>
      <c r="G83" s="1"/>
    </row>
    <row r="84" spans="1:7" ht="15" x14ac:dyDescent="0.25">
      <c r="A84" s="21"/>
      <c r="B84" s="21"/>
      <c r="C84" s="84">
        <f>C47</f>
        <v>5312</v>
      </c>
      <c r="D84" s="40" t="s">
        <v>11</v>
      </c>
      <c r="E84" s="1"/>
      <c r="F84" s="39" t="s">
        <v>143</v>
      </c>
      <c r="G84" s="1"/>
    </row>
    <row r="85" spans="1:7" ht="15" x14ac:dyDescent="0.25">
      <c r="A85" s="21"/>
      <c r="B85" s="21"/>
      <c r="C85" s="91">
        <f>1728.63/75.47</f>
        <v>22.90486285941434</v>
      </c>
      <c r="D85" s="40" t="s">
        <v>10</v>
      </c>
      <c r="E85" s="1"/>
      <c r="F85" s="39" t="s">
        <v>135</v>
      </c>
      <c r="G85" s="1"/>
    </row>
    <row r="86" spans="1:7" ht="15" x14ac:dyDescent="0.25">
      <c r="A86" s="21"/>
      <c r="B86" s="21"/>
      <c r="C86" s="92">
        <f>C84*C85</f>
        <v>121670.63150920898</v>
      </c>
      <c r="D86" s="40" t="s">
        <v>83</v>
      </c>
      <c r="E86" s="1"/>
      <c r="F86" s="39" t="s">
        <v>84</v>
      </c>
      <c r="G86" s="1"/>
    </row>
    <row r="87" spans="1:7" ht="15" x14ac:dyDescent="0.25">
      <c r="A87" s="21"/>
      <c r="B87" s="21"/>
      <c r="C87" s="84">
        <f>C50</f>
        <v>4675</v>
      </c>
      <c r="D87" s="40" t="s">
        <v>11</v>
      </c>
      <c r="E87" s="1"/>
      <c r="F87" s="39" t="s">
        <v>132</v>
      </c>
      <c r="G87" s="1"/>
    </row>
    <row r="88" spans="1:7" ht="15" x14ac:dyDescent="0.25">
      <c r="A88" s="21"/>
      <c r="B88" s="21"/>
      <c r="C88" s="91">
        <f>448.8/82.67</f>
        <v>5.4288133543002299</v>
      </c>
      <c r="D88" s="40" t="s">
        <v>10</v>
      </c>
      <c r="E88" s="1"/>
      <c r="F88" s="39" t="s">
        <v>135</v>
      </c>
      <c r="G88" s="1"/>
    </row>
    <row r="89" spans="1:7" ht="15" x14ac:dyDescent="0.25">
      <c r="A89" s="21"/>
      <c r="B89" s="21"/>
      <c r="C89" s="92">
        <f>C87*C88</f>
        <v>25379.702431353577</v>
      </c>
      <c r="D89" s="40" t="s">
        <v>83</v>
      </c>
      <c r="E89" s="1"/>
      <c r="F89" s="39" t="s">
        <v>84</v>
      </c>
      <c r="G89" s="1"/>
    </row>
    <row r="90" spans="1:7" ht="15" x14ac:dyDescent="0.25">
      <c r="A90" s="21"/>
      <c r="B90" s="21"/>
      <c r="C90" s="94">
        <f>C53</f>
        <v>2179.1799999999998</v>
      </c>
      <c r="D90" s="40" t="s">
        <v>11</v>
      </c>
      <c r="E90" s="1"/>
      <c r="F90" s="39" t="s">
        <v>136</v>
      </c>
      <c r="G90" s="1"/>
    </row>
    <row r="91" spans="1:7" ht="15" x14ac:dyDescent="0.25">
      <c r="A91" s="21"/>
      <c r="B91" s="21"/>
      <c r="C91" s="84">
        <f>750-729</f>
        <v>21</v>
      </c>
      <c r="D91" s="40" t="s">
        <v>10</v>
      </c>
      <c r="E91" s="1"/>
      <c r="F91" s="39" t="s">
        <v>130</v>
      </c>
      <c r="G91" s="1"/>
    </row>
    <row r="92" spans="1:7" ht="15" x14ac:dyDescent="0.25">
      <c r="A92" s="21"/>
      <c r="B92" s="21"/>
      <c r="C92" s="62">
        <f>C90*C91</f>
        <v>45762.78</v>
      </c>
      <c r="D92" s="40" t="s">
        <v>83</v>
      </c>
      <c r="E92" s="1"/>
      <c r="F92" s="39" t="s">
        <v>84</v>
      </c>
      <c r="G92" s="1"/>
    </row>
    <row r="93" spans="1:7" ht="15" x14ac:dyDescent="0.25">
      <c r="A93" s="52"/>
      <c r="B93" s="52"/>
      <c r="C93" s="94">
        <v>766</v>
      </c>
      <c r="D93" s="40" t="s">
        <v>11</v>
      </c>
      <c r="E93" s="40"/>
      <c r="F93" s="39" t="s">
        <v>138</v>
      </c>
      <c r="G93" s="1"/>
    </row>
    <row r="94" spans="1:7" ht="15" x14ac:dyDescent="0.25">
      <c r="A94" s="52"/>
      <c r="B94" s="52"/>
      <c r="C94" s="94">
        <f>C91-5</f>
        <v>16</v>
      </c>
      <c r="D94" s="40" t="s">
        <v>10</v>
      </c>
      <c r="E94" s="40"/>
      <c r="F94" s="39" t="s">
        <v>130</v>
      </c>
      <c r="G94" s="1"/>
    </row>
    <row r="95" spans="1:7" ht="15" x14ac:dyDescent="0.25">
      <c r="A95" s="52"/>
      <c r="B95" s="52"/>
      <c r="C95" s="95">
        <f>C93*C94</f>
        <v>12256</v>
      </c>
      <c r="D95" s="40" t="s">
        <v>83</v>
      </c>
      <c r="E95" s="40"/>
      <c r="F95" s="39" t="s">
        <v>84</v>
      </c>
      <c r="G95" s="1"/>
    </row>
    <row r="96" spans="1:7" ht="15" x14ac:dyDescent="0.25">
      <c r="A96" s="52"/>
      <c r="B96" s="52"/>
      <c r="C96" s="94">
        <v>759</v>
      </c>
      <c r="D96" s="40" t="s">
        <v>11</v>
      </c>
      <c r="E96" s="40"/>
      <c r="F96" s="39" t="s">
        <v>139</v>
      </c>
      <c r="G96" s="1"/>
    </row>
    <row r="97" spans="1:7" ht="15" x14ac:dyDescent="0.25">
      <c r="A97" s="52"/>
      <c r="B97" s="52"/>
      <c r="C97" s="94">
        <f>C94-5</f>
        <v>11</v>
      </c>
      <c r="D97" s="40" t="s">
        <v>10</v>
      </c>
      <c r="E97" s="40"/>
      <c r="F97" s="39" t="s">
        <v>130</v>
      </c>
      <c r="G97" s="1"/>
    </row>
    <row r="98" spans="1:7" ht="15" x14ac:dyDescent="0.25">
      <c r="A98" s="52"/>
      <c r="B98" s="52"/>
      <c r="C98" s="95">
        <f>C96*C97</f>
        <v>8349</v>
      </c>
      <c r="D98" s="40" t="s">
        <v>83</v>
      </c>
      <c r="E98" s="40"/>
      <c r="F98" s="39" t="s">
        <v>84</v>
      </c>
      <c r="G98" s="1"/>
    </row>
    <row r="99" spans="1:7" ht="15" x14ac:dyDescent="0.25">
      <c r="A99" s="52"/>
      <c r="B99" s="52"/>
      <c r="C99" s="94">
        <v>163</v>
      </c>
      <c r="D99" s="40" t="s">
        <v>11</v>
      </c>
      <c r="E99" s="40"/>
      <c r="F99" s="39" t="s">
        <v>140</v>
      </c>
      <c r="G99" s="1"/>
    </row>
    <row r="100" spans="1:7" ht="15" x14ac:dyDescent="0.25">
      <c r="A100" s="52"/>
      <c r="B100" s="52"/>
      <c r="C100" s="94">
        <f>C97-5</f>
        <v>6</v>
      </c>
      <c r="D100" s="40" t="s">
        <v>10</v>
      </c>
      <c r="E100" s="40"/>
      <c r="F100" s="39" t="s">
        <v>130</v>
      </c>
      <c r="G100" s="1"/>
    </row>
    <row r="101" spans="1:7" ht="15" x14ac:dyDescent="0.25">
      <c r="A101" s="52"/>
      <c r="B101" s="52"/>
      <c r="C101" s="95">
        <f>C99*C100</f>
        <v>978</v>
      </c>
      <c r="D101" s="40" t="s">
        <v>83</v>
      </c>
      <c r="E101" s="40"/>
      <c r="F101" s="39" t="s">
        <v>84</v>
      </c>
      <c r="G101" s="1"/>
    </row>
    <row r="102" spans="1:7" x14ac:dyDescent="0.2">
      <c r="A102" s="21"/>
      <c r="B102" s="21"/>
      <c r="D102" s="40"/>
      <c r="E102" s="1"/>
      <c r="F102" s="39"/>
      <c r="G102" s="1"/>
    </row>
    <row r="103" spans="1:7" x14ac:dyDescent="0.2">
      <c r="A103" s="21"/>
      <c r="B103" s="21"/>
      <c r="C103" s="93">
        <f>C86+C89+C92+C95+C98+C101</f>
        <v>214396.11394056256</v>
      </c>
      <c r="D103" s="40" t="s">
        <v>83</v>
      </c>
      <c r="E103" s="1"/>
      <c r="F103" s="39" t="s">
        <v>122</v>
      </c>
      <c r="G103" s="1"/>
    </row>
    <row r="104" spans="1:7" x14ac:dyDescent="0.2">
      <c r="A104" s="21"/>
      <c r="B104" s="21"/>
      <c r="C104" s="21"/>
      <c r="D104" s="52"/>
      <c r="E104" s="21"/>
      <c r="F104" s="55"/>
      <c r="G104" s="1"/>
    </row>
    <row r="105" spans="1:7" x14ac:dyDescent="0.2">
      <c r="A105" s="1"/>
      <c r="B105" s="1"/>
      <c r="C105" s="1"/>
      <c r="D105" s="1"/>
      <c r="E105" s="1"/>
      <c r="F105" s="2"/>
      <c r="G105" s="1"/>
    </row>
    <row r="106" spans="1:7" x14ac:dyDescent="0.2">
      <c r="A106" s="57">
        <v>203</v>
      </c>
      <c r="B106" s="53" t="s">
        <v>103</v>
      </c>
      <c r="C106" s="57">
        <f>ROUNDUP(C121/27,)</f>
        <v>555</v>
      </c>
      <c r="D106" s="53" t="s">
        <v>6</v>
      </c>
      <c r="E106" s="58"/>
      <c r="F106" s="49" t="s">
        <v>107</v>
      </c>
      <c r="G106" s="1"/>
    </row>
    <row r="107" spans="1:7" x14ac:dyDescent="0.2">
      <c r="A107" s="1"/>
      <c r="B107" s="1"/>
      <c r="C107" s="1"/>
      <c r="D107" s="1"/>
      <c r="E107" s="1"/>
      <c r="F107" s="2"/>
      <c r="G107" s="1"/>
    </row>
    <row r="108" spans="1:7" ht="15" x14ac:dyDescent="0.25">
      <c r="A108" s="21"/>
      <c r="B108" s="21"/>
      <c r="C108" s="84">
        <f>C44</f>
        <v>2740</v>
      </c>
      <c r="D108" s="40" t="s">
        <v>11</v>
      </c>
      <c r="E108" s="1"/>
      <c r="F108" s="39" t="s">
        <v>131</v>
      </c>
      <c r="G108" s="1"/>
    </row>
    <row r="109" spans="1:7" ht="15" x14ac:dyDescent="0.25">
      <c r="A109" s="21"/>
      <c r="B109" s="21"/>
      <c r="C109" s="84">
        <v>2</v>
      </c>
      <c r="D109" s="40" t="s">
        <v>10</v>
      </c>
      <c r="E109" s="1"/>
      <c r="F109" s="39" t="s">
        <v>130</v>
      </c>
      <c r="G109" s="1"/>
    </row>
    <row r="110" spans="1:7" ht="15" x14ac:dyDescent="0.25">
      <c r="A110" s="21"/>
      <c r="B110" s="21"/>
      <c r="C110" s="62">
        <f>C108*C109</f>
        <v>5480</v>
      </c>
      <c r="D110" s="40" t="s">
        <v>83</v>
      </c>
      <c r="E110" s="1"/>
      <c r="F110" s="39" t="s">
        <v>84</v>
      </c>
      <c r="G110" s="1"/>
    </row>
    <row r="111" spans="1:7" ht="15" x14ac:dyDescent="0.25">
      <c r="A111" s="21"/>
      <c r="B111" s="21"/>
      <c r="C111" s="84">
        <f>C47</f>
        <v>5312</v>
      </c>
      <c r="D111" s="40" t="s">
        <v>11</v>
      </c>
      <c r="E111" s="1"/>
      <c r="F111" s="39" t="s">
        <v>134</v>
      </c>
      <c r="G111" s="1"/>
    </row>
    <row r="112" spans="1:7" ht="15" x14ac:dyDescent="0.25">
      <c r="A112" s="21"/>
      <c r="B112" s="21"/>
      <c r="C112" s="84">
        <v>2</v>
      </c>
      <c r="D112" s="40" t="s">
        <v>10</v>
      </c>
      <c r="E112" s="1"/>
      <c r="F112" s="39" t="s">
        <v>130</v>
      </c>
      <c r="G112" s="1"/>
    </row>
    <row r="113" spans="1:7" ht="15" x14ac:dyDescent="0.25">
      <c r="A113" s="21"/>
      <c r="B113" s="21"/>
      <c r="C113" s="62">
        <f>C111*C112</f>
        <v>10624</v>
      </c>
      <c r="D113" s="40" t="s">
        <v>83</v>
      </c>
      <c r="E113" s="1"/>
      <c r="F113" s="39" t="s">
        <v>84</v>
      </c>
      <c r="G113" s="1"/>
    </row>
    <row r="114" spans="1:7" ht="15" x14ac:dyDescent="0.25">
      <c r="A114" s="21"/>
      <c r="B114" s="21"/>
      <c r="C114" s="84">
        <v>0</v>
      </c>
      <c r="D114" s="40" t="s">
        <v>11</v>
      </c>
      <c r="E114" s="1"/>
      <c r="F114" s="39" t="s">
        <v>132</v>
      </c>
      <c r="G114" s="1"/>
    </row>
    <row r="115" spans="1:7" ht="15" x14ac:dyDescent="0.25">
      <c r="A115" s="21"/>
      <c r="B115" s="21"/>
      <c r="C115" s="84">
        <v>0</v>
      </c>
      <c r="D115" s="40" t="s">
        <v>10</v>
      </c>
      <c r="E115" s="1"/>
      <c r="F115" s="39" t="s">
        <v>130</v>
      </c>
      <c r="G115" s="1"/>
    </row>
    <row r="116" spans="1:7" ht="15" x14ac:dyDescent="0.25">
      <c r="A116" s="21"/>
      <c r="B116" s="21"/>
      <c r="C116" s="62">
        <f>C114*C115</f>
        <v>0</v>
      </c>
      <c r="D116" s="40" t="s">
        <v>83</v>
      </c>
      <c r="E116" s="1"/>
      <c r="F116" s="39" t="s">
        <v>84</v>
      </c>
      <c r="G116" s="1"/>
    </row>
    <row r="117" spans="1:7" ht="15" x14ac:dyDescent="0.25">
      <c r="A117" s="21"/>
      <c r="B117" s="21"/>
      <c r="C117" s="94">
        <f>C90</f>
        <v>2179.1799999999998</v>
      </c>
      <c r="D117" s="40" t="s">
        <v>11</v>
      </c>
      <c r="E117" s="1"/>
      <c r="F117" s="39" t="s">
        <v>136</v>
      </c>
      <c r="G117" s="1"/>
    </row>
    <row r="118" spans="1:7" ht="15" x14ac:dyDescent="0.25">
      <c r="A118" s="21"/>
      <c r="B118" s="21"/>
      <c r="C118" s="84">
        <v>2</v>
      </c>
      <c r="D118" s="40" t="s">
        <v>10</v>
      </c>
      <c r="E118" s="1"/>
      <c r="F118" s="39" t="s">
        <v>130</v>
      </c>
      <c r="G118" s="1"/>
    </row>
    <row r="119" spans="1:7" ht="15" x14ac:dyDescent="0.25">
      <c r="A119" s="21"/>
      <c r="B119" s="21"/>
      <c r="C119" s="62">
        <f>C117*C118</f>
        <v>4358.3599999999997</v>
      </c>
      <c r="D119" s="40" t="s">
        <v>83</v>
      </c>
      <c r="E119" s="1"/>
      <c r="F119" s="39" t="s">
        <v>84</v>
      </c>
      <c r="G119" s="1"/>
    </row>
    <row r="120" spans="1:7" x14ac:dyDescent="0.2">
      <c r="A120" s="21"/>
      <c r="B120" s="21"/>
      <c r="D120" s="40"/>
      <c r="E120" s="1"/>
      <c r="F120" s="39"/>
      <c r="G120" s="1"/>
    </row>
    <row r="121" spans="1:7" x14ac:dyDescent="0.2">
      <c r="A121" s="21"/>
      <c r="B121" s="21"/>
      <c r="C121" s="63">
        <f>C113+C116+C119</f>
        <v>14982.36</v>
      </c>
      <c r="D121" s="40" t="s">
        <v>83</v>
      </c>
      <c r="E121" s="1"/>
      <c r="F121" s="39" t="s">
        <v>122</v>
      </c>
      <c r="G121" s="1"/>
    </row>
    <row r="123" spans="1:7" x14ac:dyDescent="0.2">
      <c r="A123" s="57">
        <v>511</v>
      </c>
      <c r="B123" s="53" t="s">
        <v>141</v>
      </c>
      <c r="C123" s="57">
        <f>ROUNDUP(C127/27,)</f>
        <v>87</v>
      </c>
      <c r="D123" s="53" t="s">
        <v>6</v>
      </c>
      <c r="E123" s="58"/>
      <c r="F123" s="106" t="s">
        <v>96</v>
      </c>
    </row>
    <row r="124" spans="1:7" x14ac:dyDescent="0.2">
      <c r="A124" s="1"/>
      <c r="B124" s="1"/>
      <c r="C124" s="1"/>
      <c r="D124" s="1"/>
      <c r="E124" s="1"/>
      <c r="F124" s="2"/>
    </row>
    <row r="125" spans="1:7" ht="15" x14ac:dyDescent="0.25">
      <c r="A125" s="21"/>
      <c r="B125" s="21"/>
      <c r="C125" s="84">
        <f>C50</f>
        <v>4675</v>
      </c>
      <c r="D125" s="40" t="s">
        <v>11</v>
      </c>
      <c r="E125" s="1"/>
      <c r="F125" s="39" t="s">
        <v>132</v>
      </c>
    </row>
    <row r="126" spans="1:7" ht="15" x14ac:dyDescent="0.25">
      <c r="A126" s="21"/>
      <c r="B126" s="21"/>
      <c r="C126" s="91">
        <v>0.5</v>
      </c>
      <c r="D126" s="40" t="s">
        <v>10</v>
      </c>
      <c r="E126" s="1"/>
      <c r="F126" s="39" t="s">
        <v>135</v>
      </c>
    </row>
    <row r="127" spans="1:7" ht="15" x14ac:dyDescent="0.25">
      <c r="A127" s="21"/>
      <c r="B127" s="21"/>
      <c r="C127" s="92">
        <f>C125*C126</f>
        <v>2337.5</v>
      </c>
      <c r="D127" s="40" t="s">
        <v>83</v>
      </c>
      <c r="E127" s="1"/>
      <c r="F127" s="39" t="s">
        <v>84</v>
      </c>
    </row>
  </sheetData>
  <mergeCells count="15">
    <mergeCell ref="A3:A4"/>
    <mergeCell ref="F3:F4"/>
    <mergeCell ref="B1:F2"/>
    <mergeCell ref="G1:G4"/>
    <mergeCell ref="B3:B4"/>
    <mergeCell ref="E3:E4"/>
    <mergeCell ref="C3:C4"/>
    <mergeCell ref="D3:D4"/>
    <mergeCell ref="B31:F32"/>
    <mergeCell ref="G31:G34"/>
    <mergeCell ref="B33:B34"/>
    <mergeCell ref="C33:C34"/>
    <mergeCell ref="D33:D34"/>
    <mergeCell ref="E33:E34"/>
    <mergeCell ref="F33:F34"/>
  </mergeCells>
  <phoneticPr fontId="0" type="noConversion"/>
  <pageMargins left="0.75" right="0.75" top="1" bottom="1" header="0.5" footer="0.5"/>
  <pageSetup paperSize="5" fitToHeight="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6"/>
  <sheetViews>
    <sheetView zoomScaleNormal="100" workbookViewId="0">
      <selection activeCell="E33" sqref="E33"/>
    </sheetView>
  </sheetViews>
  <sheetFormatPr defaultRowHeight="12.75" x14ac:dyDescent="0.2"/>
  <cols>
    <col min="2" max="4" width="9.140625" style="21"/>
    <col min="5" max="5" width="8.85546875" style="23" bestFit="1" customWidth="1"/>
    <col min="6" max="6" width="9.7109375" style="25" bestFit="1" customWidth="1"/>
    <col min="7" max="7" width="8.5703125" style="25" bestFit="1" customWidth="1"/>
    <col min="8" max="8" width="6.85546875" style="25" bestFit="1" customWidth="1"/>
    <col min="9" max="9" width="84" style="25" bestFit="1" customWidth="1"/>
    <col min="10" max="10" width="9" style="25" bestFit="1" customWidth="1"/>
    <col min="11" max="11" width="9" bestFit="1" customWidth="1"/>
  </cols>
  <sheetData>
    <row r="1" spans="1:16" x14ac:dyDescent="0.2">
      <c r="A1" s="1" t="s">
        <v>53</v>
      </c>
      <c r="B1" s="1" t="s">
        <v>50</v>
      </c>
      <c r="C1" s="1" t="s">
        <v>51</v>
      </c>
      <c r="D1" s="1" t="s">
        <v>52</v>
      </c>
      <c r="E1" s="1" t="s">
        <v>0</v>
      </c>
      <c r="F1" s="1" t="s">
        <v>4</v>
      </c>
      <c r="G1" s="1" t="s">
        <v>1</v>
      </c>
      <c r="H1" s="1" t="s">
        <v>2</v>
      </c>
      <c r="I1" s="1" t="s">
        <v>3</v>
      </c>
      <c r="J1" s="1" t="s">
        <v>5</v>
      </c>
      <c r="K1" s="1"/>
      <c r="L1" s="1" t="s">
        <v>35</v>
      </c>
    </row>
    <row r="2" spans="1:16" x14ac:dyDescent="0.2">
      <c r="A2" s="1" t="s">
        <v>55</v>
      </c>
      <c r="B2" s="1" t="str">
        <f>[1]Calcs!$C$2</f>
        <v>LUMP</v>
      </c>
      <c r="C2" s="1" t="str">
        <f>[2]Calcs!$C$2</f>
        <v>LUMP</v>
      </c>
      <c r="D2" s="1" t="str">
        <f>[3]Calcs!$C$2</f>
        <v>LUMP</v>
      </c>
      <c r="E2" s="1">
        <v>503</v>
      </c>
      <c r="F2" s="3">
        <v>21301</v>
      </c>
      <c r="G2" s="1" t="s">
        <v>8</v>
      </c>
      <c r="H2" s="1"/>
      <c r="I2" s="2" t="s">
        <v>12</v>
      </c>
      <c r="J2" s="1" t="s">
        <v>58</v>
      </c>
      <c r="L2" s="2"/>
    </row>
    <row r="3" spans="1:16" x14ac:dyDescent="0.2">
      <c r="A3" s="1" t="s">
        <v>44</v>
      </c>
      <c r="B3" s="9">
        <f>[1]Calcs!$C$3</f>
        <v>553</v>
      </c>
      <c r="C3" s="9">
        <f>[2]Calcs!$C$3</f>
        <v>1779</v>
      </c>
      <c r="D3" s="1">
        <f>[3]Calcs!$C$3</f>
        <v>14230</v>
      </c>
      <c r="E3" s="1">
        <v>507</v>
      </c>
      <c r="F3" s="6" t="s">
        <v>13</v>
      </c>
      <c r="G3" s="1">
        <f>SUM(A3:D3)</f>
        <v>16562</v>
      </c>
      <c r="H3" s="1" t="s">
        <v>10</v>
      </c>
      <c r="I3" s="2" t="s">
        <v>14</v>
      </c>
      <c r="J3" s="1"/>
      <c r="L3" s="2" t="s">
        <v>31</v>
      </c>
    </row>
    <row r="4" spans="1:16" x14ac:dyDescent="0.2">
      <c r="A4" s="1" t="s">
        <v>44</v>
      </c>
      <c r="B4" s="9">
        <f>[1]Calcs!$C$4</f>
        <v>5514</v>
      </c>
      <c r="C4" s="9">
        <f>[2]Calcs!$C$4</f>
        <v>19557</v>
      </c>
      <c r="D4" s="1">
        <f>[3]Calcs!$C$4</f>
        <v>297098</v>
      </c>
      <c r="E4" s="1">
        <v>509</v>
      </c>
      <c r="F4" s="6" t="s">
        <v>15</v>
      </c>
      <c r="G4" s="1">
        <f t="shared" ref="G4:G21" si="0">SUM(A4:D4)</f>
        <v>322169</v>
      </c>
      <c r="H4" s="1" t="s">
        <v>16</v>
      </c>
      <c r="I4" s="2" t="s">
        <v>17</v>
      </c>
      <c r="J4" s="1"/>
      <c r="L4" s="2" t="s">
        <v>32</v>
      </c>
    </row>
    <row r="5" spans="1:16" x14ac:dyDescent="0.2">
      <c r="A5" s="1" t="s">
        <v>44</v>
      </c>
      <c r="B5" s="9">
        <f>[1]Calcs!$C$5</f>
        <v>80</v>
      </c>
      <c r="C5" s="9">
        <f>[2]Calcs!$C$5</f>
        <v>239</v>
      </c>
      <c r="D5" s="9">
        <f>[3]Calcs!$C$5</f>
        <v>2312</v>
      </c>
      <c r="E5" s="1">
        <v>511</v>
      </c>
      <c r="F5" s="6" t="s">
        <v>49</v>
      </c>
      <c r="G5" s="1">
        <f t="shared" si="0"/>
        <v>2631</v>
      </c>
      <c r="H5" s="1" t="s">
        <v>6</v>
      </c>
      <c r="I5" s="2" t="s">
        <v>36</v>
      </c>
      <c r="J5" s="1"/>
      <c r="L5" s="2" t="s">
        <v>33</v>
      </c>
    </row>
    <row r="6" spans="1:16" x14ac:dyDescent="0.2">
      <c r="A6" s="1" t="s">
        <v>44</v>
      </c>
      <c r="B6" s="9">
        <f>[1]Calcs!$C$6</f>
        <v>103</v>
      </c>
      <c r="C6" s="9">
        <f>[2]Calcs!$C$6</f>
        <v>398</v>
      </c>
      <c r="D6" s="9">
        <f>[3]Calcs!$C$6</f>
        <v>4745</v>
      </c>
      <c r="E6" s="1">
        <v>512</v>
      </c>
      <c r="F6" s="6" t="s">
        <v>18</v>
      </c>
      <c r="G6" s="1">
        <f t="shared" si="0"/>
        <v>5246</v>
      </c>
      <c r="H6" s="1" t="s">
        <v>9</v>
      </c>
      <c r="I6" s="2" t="s">
        <v>19</v>
      </c>
      <c r="J6" s="1" t="s">
        <v>58</v>
      </c>
      <c r="L6" s="2" t="s">
        <v>33</v>
      </c>
    </row>
    <row r="7" spans="1:16" x14ac:dyDescent="0.2">
      <c r="A7" s="1" t="s">
        <v>44</v>
      </c>
      <c r="B7" s="9">
        <f>[1]Calcs!$C$7</f>
        <v>103</v>
      </c>
      <c r="C7" s="9">
        <f>[2]Calcs!$C$7</f>
        <v>398</v>
      </c>
      <c r="D7" s="9">
        <f>[3]Calcs!$C$7</f>
        <v>4745</v>
      </c>
      <c r="E7" s="1">
        <v>512</v>
      </c>
      <c r="F7" s="6" t="s">
        <v>20</v>
      </c>
      <c r="G7" s="1">
        <f t="shared" si="0"/>
        <v>5246</v>
      </c>
      <c r="H7" s="1" t="s">
        <v>9</v>
      </c>
      <c r="I7" s="2" t="s">
        <v>21</v>
      </c>
      <c r="J7" s="1" t="s">
        <v>58</v>
      </c>
      <c r="L7" s="2" t="s">
        <v>33</v>
      </c>
    </row>
    <row r="8" spans="1:16" x14ac:dyDescent="0.2">
      <c r="A8" s="1" t="s">
        <v>44</v>
      </c>
      <c r="B8" s="9">
        <f>[1]Calcs!$C$8</f>
        <v>21</v>
      </c>
      <c r="C8" s="9">
        <f>[2]Calcs!$C$8</f>
        <v>68</v>
      </c>
      <c r="D8" s="9">
        <f>[3]Calcs!$C$8</f>
        <v>774</v>
      </c>
      <c r="E8" s="1">
        <v>512</v>
      </c>
      <c r="F8" s="6" t="s">
        <v>22</v>
      </c>
      <c r="G8" s="1">
        <f t="shared" si="0"/>
        <v>863</v>
      </c>
      <c r="H8" s="1" t="s">
        <v>9</v>
      </c>
      <c r="I8" s="2" t="s">
        <v>23</v>
      </c>
      <c r="J8" s="1" t="s">
        <v>58</v>
      </c>
      <c r="L8" s="2" t="s">
        <v>33</v>
      </c>
      <c r="P8" s="7"/>
    </row>
    <row r="9" spans="1:16" x14ac:dyDescent="0.2">
      <c r="A9" s="1" t="s">
        <v>44</v>
      </c>
      <c r="B9" s="9">
        <f>[1]Calcs!$C$9</f>
        <v>777</v>
      </c>
      <c r="C9" s="9">
        <f>[2]Calcs!$C$9</f>
        <v>204</v>
      </c>
      <c r="D9" s="9">
        <f>[3]Calcs!$C$9</f>
        <v>8649.67</v>
      </c>
      <c r="E9" s="1">
        <v>516</v>
      </c>
      <c r="F9" s="6" t="s">
        <v>24</v>
      </c>
      <c r="G9" s="1">
        <f t="shared" si="0"/>
        <v>9630.67</v>
      </c>
      <c r="H9" s="1" t="s">
        <v>11</v>
      </c>
      <c r="I9" s="2" t="s">
        <v>25</v>
      </c>
      <c r="J9" s="1"/>
      <c r="L9" s="2" t="s">
        <v>33</v>
      </c>
    </row>
    <row r="10" spans="1:16" x14ac:dyDescent="0.2">
      <c r="A10" s="1" t="s">
        <v>44</v>
      </c>
      <c r="B10" s="9">
        <f>[1]Calcs!$C$11</f>
        <v>27.666666666666668</v>
      </c>
      <c r="C10" s="9">
        <f>[2]Calcs!$C$11</f>
        <v>84</v>
      </c>
      <c r="D10" s="1">
        <f>[3]Calcs!$C$11</f>
        <v>994.44444444444446</v>
      </c>
      <c r="E10" s="1">
        <v>518</v>
      </c>
      <c r="F10" s="6" t="s">
        <v>26</v>
      </c>
      <c r="G10" s="1">
        <f t="shared" si="0"/>
        <v>1106.1111111111111</v>
      </c>
      <c r="H10" s="1" t="s">
        <v>10</v>
      </c>
      <c r="I10" s="39" t="s">
        <v>59</v>
      </c>
      <c r="J10" s="1"/>
      <c r="L10" s="2" t="s">
        <v>60</v>
      </c>
    </row>
    <row r="11" spans="1:16" x14ac:dyDescent="0.2">
      <c r="A11" s="1" t="s">
        <v>44</v>
      </c>
      <c r="B11" s="9">
        <f>[1]Calcs!$C$12</f>
        <v>48</v>
      </c>
      <c r="C11" s="9"/>
      <c r="E11" s="1">
        <v>524</v>
      </c>
      <c r="F11" s="6" t="s">
        <v>47</v>
      </c>
      <c r="G11" s="1">
        <f t="shared" si="0"/>
        <v>48</v>
      </c>
      <c r="H11" s="1" t="s">
        <v>10</v>
      </c>
      <c r="I11" s="2" t="s">
        <v>48</v>
      </c>
      <c r="J11" s="1" t="s">
        <v>58</v>
      </c>
      <c r="L11" s="2" t="s">
        <v>31</v>
      </c>
    </row>
    <row r="12" spans="1:16" x14ac:dyDescent="0.2">
      <c r="A12" s="1" t="s">
        <v>44</v>
      </c>
      <c r="B12" s="9"/>
      <c r="C12" s="9">
        <f>[2]Calcs!$C$12</f>
        <v>108</v>
      </c>
      <c r="D12" s="1">
        <f>[3]Calcs!$C$12</f>
        <v>668</v>
      </c>
      <c r="E12" s="1">
        <v>524</v>
      </c>
      <c r="F12" s="9">
        <v>94603</v>
      </c>
      <c r="G12" s="1">
        <f>SUM(A12:D12)</f>
        <v>776</v>
      </c>
      <c r="H12" s="1" t="s">
        <v>10</v>
      </c>
      <c r="I12" s="2" t="s">
        <v>54</v>
      </c>
      <c r="J12" s="1" t="s">
        <v>58</v>
      </c>
      <c r="L12" s="2"/>
    </row>
    <row r="13" spans="1:16" x14ac:dyDescent="0.2">
      <c r="A13" s="1" t="s">
        <v>44</v>
      </c>
      <c r="B13" s="9">
        <f>[1]Calcs!$C$13</f>
        <v>596</v>
      </c>
      <c r="C13" s="9">
        <f>[2]Calcs!$C$13</f>
        <v>2234</v>
      </c>
      <c r="D13" s="1">
        <f>[3]Calcs!$C$13</f>
        <v>13588.71</v>
      </c>
      <c r="E13" s="1">
        <v>601</v>
      </c>
      <c r="F13" s="9">
        <v>37501</v>
      </c>
      <c r="G13" s="1">
        <f t="shared" si="0"/>
        <v>16418.71</v>
      </c>
      <c r="H13" s="1" t="s">
        <v>10</v>
      </c>
      <c r="I13" s="2" t="s">
        <v>57</v>
      </c>
      <c r="J13" s="1" t="s">
        <v>58</v>
      </c>
      <c r="L13" s="2" t="s">
        <v>34</v>
      </c>
    </row>
    <row r="14" spans="1:16" x14ac:dyDescent="0.2">
      <c r="A14" s="40" t="s">
        <v>44</v>
      </c>
      <c r="B14" s="38">
        <f>[1]Calcs!$C$14</f>
        <v>286.08999999999997</v>
      </c>
      <c r="C14" s="38">
        <f>[2]Calcs!$C$14</f>
        <v>505.07</v>
      </c>
      <c r="D14" s="40">
        <f>[3]Calcs!$C$14</f>
        <v>2</v>
      </c>
      <c r="E14" s="40">
        <v>611</v>
      </c>
      <c r="F14" s="41">
        <v>1100</v>
      </c>
      <c r="G14" s="40">
        <f>D14</f>
        <v>2</v>
      </c>
      <c r="H14" s="40" t="s">
        <v>10</v>
      </c>
      <c r="I14" s="39" t="s">
        <v>27</v>
      </c>
      <c r="J14" s="40"/>
      <c r="K14" s="42"/>
      <c r="L14" s="39" t="s">
        <v>34</v>
      </c>
    </row>
    <row r="15" spans="1:16" x14ac:dyDescent="0.2">
      <c r="A15" s="1" t="s">
        <v>44</v>
      </c>
      <c r="B15" s="1"/>
      <c r="C15" s="1"/>
      <c r="D15" s="1">
        <f>[3]Calcs!$C$16</f>
        <v>644</v>
      </c>
      <c r="E15" s="1" t="s">
        <v>7</v>
      </c>
      <c r="F15" s="8" t="s">
        <v>45</v>
      </c>
      <c r="G15" s="1">
        <f>SUM(A15:D15)</f>
        <v>644</v>
      </c>
      <c r="H15" s="1" t="s">
        <v>37</v>
      </c>
      <c r="I15" s="2" t="s">
        <v>38</v>
      </c>
      <c r="J15" s="1" t="s">
        <v>58</v>
      </c>
    </row>
    <row r="16" spans="1:16" x14ac:dyDescent="0.2">
      <c r="A16" s="1" t="s">
        <v>44</v>
      </c>
      <c r="B16" s="1"/>
      <c r="C16" s="1"/>
      <c r="D16" s="1" t="str">
        <f>[3]Calcs!$C$17</f>
        <v>LUMP</v>
      </c>
      <c r="E16" s="1" t="s">
        <v>7</v>
      </c>
      <c r="F16" s="8" t="s">
        <v>45</v>
      </c>
      <c r="G16" s="1">
        <f t="shared" si="0"/>
        <v>0</v>
      </c>
      <c r="H16" s="1" t="s">
        <v>37</v>
      </c>
      <c r="I16" s="2" t="s">
        <v>39</v>
      </c>
      <c r="J16" s="1"/>
    </row>
    <row r="17" spans="1:12" x14ac:dyDescent="0.2">
      <c r="A17" s="1" t="s">
        <v>44</v>
      </c>
      <c r="B17" s="1"/>
      <c r="C17" s="1"/>
      <c r="D17" s="1">
        <f>[3]Calcs!$C$18</f>
        <v>0</v>
      </c>
      <c r="E17" s="1" t="s">
        <v>7</v>
      </c>
      <c r="F17" s="8" t="s">
        <v>45</v>
      </c>
      <c r="G17" s="1">
        <f t="shared" si="0"/>
        <v>0</v>
      </c>
      <c r="H17" s="1" t="s">
        <v>37</v>
      </c>
      <c r="I17" s="2" t="s">
        <v>40</v>
      </c>
      <c r="J17" s="1"/>
      <c r="L17" s="2"/>
    </row>
    <row r="18" spans="1:12" x14ac:dyDescent="0.2">
      <c r="A18" s="1" t="s">
        <v>44</v>
      </c>
      <c r="B18" s="1"/>
      <c r="C18" s="1"/>
      <c r="D18" s="1">
        <f>[3]Calcs!$C$19</f>
        <v>49169</v>
      </c>
      <c r="E18" s="1" t="s">
        <v>7</v>
      </c>
      <c r="F18" s="8" t="s">
        <v>45</v>
      </c>
      <c r="G18" s="1">
        <f t="shared" si="0"/>
        <v>49169</v>
      </c>
      <c r="H18" s="1" t="s">
        <v>37</v>
      </c>
      <c r="I18" s="2" t="s">
        <v>41</v>
      </c>
      <c r="J18" s="1"/>
      <c r="L18" s="2"/>
    </row>
    <row r="19" spans="1:12" x14ac:dyDescent="0.2">
      <c r="A19" s="1" t="s">
        <v>44</v>
      </c>
      <c r="B19" s="1"/>
      <c r="C19" s="1"/>
      <c r="D19" s="9">
        <f>[3]Calcs!$C$20</f>
        <v>11</v>
      </c>
      <c r="E19" s="1" t="s">
        <v>7</v>
      </c>
      <c r="F19" s="8" t="s">
        <v>45</v>
      </c>
      <c r="G19" s="1">
        <f t="shared" si="0"/>
        <v>11</v>
      </c>
      <c r="H19" s="1" t="s">
        <v>37</v>
      </c>
      <c r="I19" s="2" t="s">
        <v>42</v>
      </c>
      <c r="J19" s="1"/>
      <c r="L19" s="2"/>
    </row>
    <row r="20" spans="1:12" x14ac:dyDescent="0.2">
      <c r="A20" s="1" t="s">
        <v>44</v>
      </c>
      <c r="B20" s="9">
        <f>[1]Calcs!$C$15</f>
        <v>204</v>
      </c>
      <c r="C20" s="9">
        <f>[2]Calcs!$C$15</f>
        <v>453</v>
      </c>
      <c r="D20" s="9">
        <f>[3]Calcs!$C$21</f>
        <v>266</v>
      </c>
      <c r="E20" s="1" t="s">
        <v>7</v>
      </c>
      <c r="F20" s="3" t="s">
        <v>46</v>
      </c>
      <c r="G20" s="1">
        <f t="shared" si="0"/>
        <v>923</v>
      </c>
      <c r="H20" s="1" t="s">
        <v>11</v>
      </c>
      <c r="I20" s="2" t="s">
        <v>43</v>
      </c>
      <c r="J20" s="1"/>
      <c r="L20" s="2" t="s">
        <v>33</v>
      </c>
    </row>
    <row r="21" spans="1:12" x14ac:dyDescent="0.2">
      <c r="A21" s="1" t="s">
        <v>44</v>
      </c>
      <c r="B21" s="9">
        <f>[1]Calcs!$C$16</f>
        <v>0</v>
      </c>
      <c r="C21" s="9">
        <f>[2]Calcs!$C$16</f>
        <v>0</v>
      </c>
      <c r="D21" s="9">
        <f>[3]Calcs!$C$22</f>
        <v>243</v>
      </c>
      <c r="E21" s="1" t="s">
        <v>7</v>
      </c>
      <c r="F21" s="3" t="s">
        <v>46</v>
      </c>
      <c r="G21" s="1">
        <f t="shared" si="0"/>
        <v>243</v>
      </c>
      <c r="H21" s="1" t="s">
        <v>11</v>
      </c>
      <c r="I21" s="2" t="s">
        <v>28</v>
      </c>
      <c r="J21" s="1"/>
      <c r="L21" s="2" t="s">
        <v>33</v>
      </c>
    </row>
    <row r="22" spans="1:12" x14ac:dyDescent="0.2">
      <c r="B22" s="1"/>
      <c r="C22" s="1"/>
      <c r="D22" s="1"/>
      <c r="E22" s="1"/>
      <c r="F22" s="20"/>
      <c r="G22" s="1"/>
      <c r="H22" s="1"/>
      <c r="I22" s="2"/>
      <c r="J22" s="1"/>
      <c r="L22" s="2"/>
    </row>
    <row r="23" spans="1:12" x14ac:dyDescent="0.2">
      <c r="B23" s="1"/>
      <c r="C23" s="1"/>
      <c r="D23" s="1"/>
      <c r="E23" s="1"/>
      <c r="F23" s="3"/>
      <c r="G23" s="1"/>
      <c r="H23" s="1"/>
      <c r="I23" s="2"/>
      <c r="J23" s="1"/>
      <c r="L23" s="2"/>
    </row>
    <row r="24" spans="1:12" x14ac:dyDescent="0.2">
      <c r="B24" s="33" t="s">
        <v>56</v>
      </c>
      <c r="E24" s="21"/>
      <c r="F24" s="22"/>
      <c r="G24" s="21"/>
      <c r="H24" s="21"/>
      <c r="I24" s="23"/>
      <c r="J24" s="21"/>
      <c r="L24" s="2"/>
    </row>
    <row r="25" spans="1:12" x14ac:dyDescent="0.2">
      <c r="E25" s="21"/>
      <c r="F25" s="22"/>
      <c r="G25" s="21"/>
      <c r="H25" s="21"/>
      <c r="I25" s="23"/>
      <c r="J25" s="21"/>
      <c r="L25" s="2"/>
    </row>
    <row r="27" spans="1:12" x14ac:dyDescent="0.2">
      <c r="E27" s="24"/>
      <c r="F27" s="21"/>
      <c r="G27" s="21"/>
      <c r="H27" s="21"/>
      <c r="I27" s="21"/>
    </row>
    <row r="28" spans="1:12" x14ac:dyDescent="0.2">
      <c r="E28" s="26"/>
      <c r="F28" s="23"/>
      <c r="G28" s="23"/>
      <c r="H28" s="27"/>
      <c r="I28" s="21"/>
    </row>
    <row r="29" spans="1:12" x14ac:dyDescent="0.2">
      <c r="E29" s="26"/>
      <c r="F29" s="23"/>
      <c r="G29" s="23"/>
      <c r="H29" s="28"/>
    </row>
    <row r="30" spans="1:12" x14ac:dyDescent="0.2">
      <c r="E30" s="26"/>
      <c r="F30" s="23"/>
      <c r="G30" s="23"/>
    </row>
    <row r="31" spans="1:12" x14ac:dyDescent="0.2">
      <c r="E31" s="29"/>
      <c r="F31" s="23"/>
    </row>
    <row r="33" spans="5:9" x14ac:dyDescent="0.2">
      <c r="E33" s="24"/>
    </row>
    <row r="35" spans="5:9" x14ac:dyDescent="0.2">
      <c r="E35" s="30"/>
      <c r="F35" s="28"/>
      <c r="G35" s="28"/>
    </row>
    <row r="36" spans="5:9" x14ac:dyDescent="0.2">
      <c r="E36" s="30"/>
      <c r="F36" s="28"/>
      <c r="G36" s="28"/>
    </row>
    <row r="37" spans="5:9" x14ac:dyDescent="0.2">
      <c r="E37" s="30"/>
      <c r="F37" s="28"/>
      <c r="G37" s="28"/>
    </row>
    <row r="38" spans="5:9" x14ac:dyDescent="0.2">
      <c r="E38" s="27"/>
      <c r="F38" s="28"/>
      <c r="G38" s="29"/>
      <c r="H38" s="28"/>
    </row>
    <row r="39" spans="5:9" x14ac:dyDescent="0.2">
      <c r="E39" s="27"/>
      <c r="F39" s="28"/>
      <c r="G39" s="29"/>
      <c r="H39" s="28"/>
    </row>
    <row r="41" spans="5:9" x14ac:dyDescent="0.2">
      <c r="E41" s="24"/>
    </row>
    <row r="43" spans="5:9" x14ac:dyDescent="0.2">
      <c r="E43" s="31"/>
      <c r="F43" s="28"/>
      <c r="G43" s="28"/>
    </row>
    <row r="44" spans="5:9" x14ac:dyDescent="0.2">
      <c r="E44" s="29"/>
      <c r="F44" s="28"/>
    </row>
    <row r="45" spans="5:9" x14ac:dyDescent="0.2">
      <c r="E45" s="24"/>
    </row>
    <row r="46" spans="5:9" x14ac:dyDescent="0.2">
      <c r="E46" s="27"/>
    </row>
    <row r="47" spans="5:9" x14ac:dyDescent="0.2">
      <c r="E47" s="27"/>
      <c r="G47" s="28"/>
      <c r="I47" s="28"/>
    </row>
    <row r="48" spans="5:9" x14ac:dyDescent="0.2">
      <c r="E48" s="27"/>
      <c r="G48" s="28"/>
      <c r="I48" s="28"/>
    </row>
    <row r="49" spans="5:9" x14ac:dyDescent="0.2">
      <c r="E49" s="10"/>
      <c r="F49" s="17"/>
      <c r="G49" s="17"/>
      <c r="H49" s="17"/>
      <c r="I49" s="17"/>
    </row>
    <row r="50" spans="5:9" x14ac:dyDescent="0.2">
      <c r="E50" s="10"/>
      <c r="F50" s="11"/>
      <c r="G50" s="12"/>
      <c r="H50" s="11"/>
      <c r="I50" s="13"/>
    </row>
    <row r="51" spans="5:9" x14ac:dyDescent="0.2">
      <c r="E51" s="13"/>
      <c r="F51" s="14"/>
      <c r="G51" s="12"/>
      <c r="H51" s="11"/>
      <c r="I51" s="13"/>
    </row>
    <row r="52" spans="5:9" x14ac:dyDescent="0.2">
      <c r="E52" s="10"/>
      <c r="F52" s="15"/>
      <c r="G52" s="12"/>
      <c r="H52" s="11"/>
      <c r="I52" s="16"/>
    </row>
    <row r="53" spans="5:9" x14ac:dyDescent="0.2">
      <c r="E53" s="10"/>
      <c r="F53" s="15"/>
      <c r="G53" s="12"/>
      <c r="H53" s="11"/>
      <c r="I53" s="16"/>
    </row>
    <row r="54" spans="5:9" x14ac:dyDescent="0.2">
      <c r="E54" s="16"/>
      <c r="F54" s="17"/>
      <c r="G54" s="19"/>
      <c r="H54" s="18"/>
      <c r="I54" s="13"/>
    </row>
    <row r="55" spans="5:9" x14ac:dyDescent="0.2">
      <c r="E55" s="16"/>
      <c r="F55" s="17"/>
      <c r="G55" s="12"/>
      <c r="H55" s="18"/>
      <c r="I55" s="13"/>
    </row>
    <row r="56" spans="5:9" x14ac:dyDescent="0.2">
      <c r="E56" s="10"/>
      <c r="F56" s="10"/>
      <c r="G56" s="10"/>
      <c r="H56" s="10"/>
      <c r="I56" s="10"/>
    </row>
    <row r="57" spans="5:9" x14ac:dyDescent="0.2">
      <c r="E57" s="10"/>
      <c r="F57" s="11"/>
      <c r="G57" s="12"/>
      <c r="H57" s="11"/>
      <c r="I57" s="13"/>
    </row>
    <row r="58" spans="5:9" x14ac:dyDescent="0.2">
      <c r="E58" s="13"/>
      <c r="F58" s="14"/>
      <c r="G58" s="12"/>
      <c r="H58" s="11"/>
      <c r="I58" s="13"/>
    </row>
    <row r="59" spans="5:9" x14ac:dyDescent="0.2">
      <c r="E59" s="10"/>
      <c r="F59" s="15"/>
      <c r="G59" s="12"/>
      <c r="H59" s="11"/>
      <c r="I59" s="16"/>
    </row>
    <row r="60" spans="5:9" x14ac:dyDescent="0.2">
      <c r="E60" s="16"/>
      <c r="F60" s="17"/>
      <c r="G60" s="19"/>
      <c r="H60" s="18"/>
      <c r="I60" s="13"/>
    </row>
    <row r="61" spans="5:9" x14ac:dyDescent="0.2">
      <c r="E61" s="16"/>
      <c r="F61" s="15"/>
      <c r="G61" s="12"/>
      <c r="H61" s="18"/>
      <c r="I61" s="13"/>
    </row>
    <row r="62" spans="5:9" x14ac:dyDescent="0.2">
      <c r="E62" s="10"/>
      <c r="F62" s="10"/>
      <c r="G62" s="10"/>
      <c r="H62" s="10"/>
      <c r="I62" s="10"/>
    </row>
    <row r="63" spans="5:9" x14ac:dyDescent="0.2">
      <c r="E63" s="10"/>
      <c r="F63" s="11"/>
      <c r="G63" s="12"/>
      <c r="H63" s="11"/>
      <c r="I63" s="13"/>
    </row>
    <row r="64" spans="5:9" x14ac:dyDescent="0.2">
      <c r="E64" s="13"/>
      <c r="F64" s="14"/>
      <c r="G64" s="12"/>
      <c r="H64" s="11"/>
      <c r="I64" s="13"/>
    </row>
    <row r="65" spans="5:9" x14ac:dyDescent="0.2">
      <c r="E65" s="10"/>
      <c r="F65" s="15"/>
      <c r="G65" s="12"/>
      <c r="H65" s="11"/>
      <c r="I65" s="16"/>
    </row>
    <row r="66" spans="5:9" x14ac:dyDescent="0.2">
      <c r="E66" s="10"/>
      <c r="F66" s="15"/>
      <c r="G66" s="12"/>
      <c r="H66" s="11"/>
      <c r="I66" s="16"/>
    </row>
    <row r="67" spans="5:9" x14ac:dyDescent="0.2">
      <c r="E67" s="16"/>
      <c r="F67" s="17"/>
      <c r="G67" s="19"/>
      <c r="H67" s="18"/>
      <c r="I67" s="13"/>
    </row>
    <row r="68" spans="5:9" x14ac:dyDescent="0.2">
      <c r="E68" s="27"/>
      <c r="G68" s="32"/>
      <c r="H68" s="18"/>
      <c r="I68" s="28"/>
    </row>
    <row r="69" spans="5:9" x14ac:dyDescent="0.2">
      <c r="E69" s="31"/>
      <c r="F69" s="28"/>
      <c r="G69" s="28"/>
    </row>
    <row r="70" spans="5:9" x14ac:dyDescent="0.2">
      <c r="E70" s="10"/>
      <c r="F70" s="10"/>
      <c r="G70" s="10"/>
      <c r="H70" s="10"/>
      <c r="I70" s="10"/>
    </row>
    <row r="71" spans="5:9" x14ac:dyDescent="0.2">
      <c r="E71" s="10"/>
      <c r="F71" s="11"/>
      <c r="G71" s="12"/>
      <c r="H71" s="11"/>
      <c r="I71" s="13"/>
    </row>
    <row r="72" spans="5:9" x14ac:dyDescent="0.2">
      <c r="E72" s="13"/>
      <c r="F72" s="14"/>
      <c r="G72" s="12"/>
      <c r="H72" s="11"/>
      <c r="I72" s="13"/>
    </row>
    <row r="73" spans="5:9" x14ac:dyDescent="0.2">
      <c r="E73" s="10"/>
      <c r="F73" s="15"/>
      <c r="G73" s="12"/>
      <c r="H73" s="11"/>
      <c r="I73" s="16"/>
    </row>
    <row r="74" spans="5:9" x14ac:dyDescent="0.2">
      <c r="E74" s="10"/>
      <c r="F74" s="15"/>
      <c r="G74" s="12"/>
      <c r="H74" s="11"/>
      <c r="I74" s="16"/>
    </row>
    <row r="75" spans="5:9" x14ac:dyDescent="0.2">
      <c r="E75" s="16"/>
      <c r="F75" s="17"/>
      <c r="G75" s="19"/>
      <c r="H75" s="18"/>
      <c r="I75" s="13"/>
    </row>
    <row r="76" spans="5:9" x14ac:dyDescent="0.2">
      <c r="E76" s="27"/>
      <c r="G76" s="32"/>
      <c r="H76" s="18"/>
      <c r="I76" s="28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242"/>
  <sheetViews>
    <sheetView tabSelected="1" topLeftCell="B1" zoomScaleNormal="100" workbookViewId="0">
      <selection activeCell="E24" sqref="E24"/>
    </sheetView>
  </sheetViews>
  <sheetFormatPr defaultRowHeight="12.75" x14ac:dyDescent="0.2"/>
  <cols>
    <col min="1" max="1" width="10.140625" style="1" bestFit="1" customWidth="1"/>
    <col min="2" max="3" width="13.85546875" style="1" bestFit="1" customWidth="1"/>
    <col min="4" max="4" width="8.85546875" style="1" bestFit="1" customWidth="1"/>
    <col min="5" max="5" width="7.140625" style="1" bestFit="1" customWidth="1"/>
    <col min="6" max="6" width="88.7109375" style="1" bestFit="1" customWidth="1"/>
    <col min="7" max="7" width="18.5703125" style="1" bestFit="1" customWidth="1"/>
    <col min="8" max="8" width="8.85546875" style="1" customWidth="1"/>
    <col min="9" max="12" width="9.140625" style="1"/>
    <col min="13" max="15" width="9" style="1" customWidth="1"/>
    <col min="16" max="16384" width="9.140625" style="1"/>
  </cols>
  <sheetData>
    <row r="1" spans="1:7" ht="12.75" customHeight="1" x14ac:dyDescent="0.2">
      <c r="A1" s="60"/>
      <c r="B1" s="171" t="s">
        <v>29</v>
      </c>
      <c r="C1" s="172"/>
      <c r="D1" s="172"/>
      <c r="E1" s="172"/>
      <c r="F1" s="173"/>
      <c r="G1" s="177" t="s">
        <v>30</v>
      </c>
    </row>
    <row r="2" spans="1:7" ht="12.75" customHeight="1" thickBot="1" x14ac:dyDescent="0.25">
      <c r="A2" s="61"/>
      <c r="B2" s="174"/>
      <c r="C2" s="175"/>
      <c r="D2" s="175"/>
      <c r="E2" s="175"/>
      <c r="F2" s="176"/>
      <c r="G2" s="178"/>
    </row>
    <row r="3" spans="1:7" ht="12.75" customHeight="1" x14ac:dyDescent="0.2">
      <c r="A3" s="190"/>
      <c r="B3" s="192" t="s">
        <v>0</v>
      </c>
      <c r="C3" s="185" t="s">
        <v>4</v>
      </c>
      <c r="D3" s="189" t="s">
        <v>1</v>
      </c>
      <c r="E3" s="213" t="s">
        <v>2</v>
      </c>
      <c r="F3" s="195" t="s">
        <v>3</v>
      </c>
      <c r="G3" s="178"/>
    </row>
    <row r="4" spans="1:7" ht="24" customHeight="1" thickBot="1" x14ac:dyDescent="0.25">
      <c r="A4" s="191"/>
      <c r="B4" s="193"/>
      <c r="C4" s="186"/>
      <c r="D4" s="191"/>
      <c r="E4" s="186"/>
      <c r="F4" s="193"/>
      <c r="G4" s="194"/>
    </row>
    <row r="5" spans="1:7" x14ac:dyDescent="0.2">
      <c r="A5" s="5" t="e">
        <f>#REF!</f>
        <v>#REF!</v>
      </c>
      <c r="B5" s="5">
        <v>203</v>
      </c>
      <c r="C5" s="85" t="s">
        <v>103</v>
      </c>
      <c r="D5" s="69">
        <f>C89</f>
        <v>12305</v>
      </c>
      <c r="E5" s="65" t="s">
        <v>6</v>
      </c>
      <c r="F5" s="43" t="s">
        <v>104</v>
      </c>
      <c r="G5" s="45"/>
    </row>
    <row r="6" spans="1:7" x14ac:dyDescent="0.2">
      <c r="A6" s="5"/>
      <c r="B6" s="5">
        <v>203</v>
      </c>
      <c r="C6" s="85" t="s">
        <v>103</v>
      </c>
      <c r="D6" s="69">
        <f>C115</f>
        <v>758</v>
      </c>
      <c r="E6" s="65" t="s">
        <v>6</v>
      </c>
      <c r="F6" s="43" t="s">
        <v>105</v>
      </c>
      <c r="G6" s="45"/>
    </row>
    <row r="7" spans="1:7" x14ac:dyDescent="0.2">
      <c r="A7" s="5"/>
      <c r="B7" s="5">
        <v>203</v>
      </c>
      <c r="C7" s="86">
        <v>20000</v>
      </c>
      <c r="D7" s="69">
        <f>C30</f>
        <v>18</v>
      </c>
      <c r="E7" s="65" t="s">
        <v>6</v>
      </c>
      <c r="F7" s="43" t="s">
        <v>62</v>
      </c>
      <c r="G7" s="45"/>
    </row>
    <row r="8" spans="1:7" x14ac:dyDescent="0.2">
      <c r="A8" s="5">
        <f>C44</f>
        <v>691</v>
      </c>
      <c r="B8" s="5">
        <v>203</v>
      </c>
      <c r="C8" s="34">
        <v>35110</v>
      </c>
      <c r="D8" s="69">
        <f>C44</f>
        <v>691</v>
      </c>
      <c r="E8" s="65" t="s">
        <v>6</v>
      </c>
      <c r="F8" s="43" t="s">
        <v>63</v>
      </c>
      <c r="G8" s="45"/>
    </row>
    <row r="9" spans="1:7" x14ac:dyDescent="0.2">
      <c r="A9" s="5">
        <f>C72</f>
        <v>3117</v>
      </c>
      <c r="B9" s="5">
        <v>203</v>
      </c>
      <c r="C9" s="34">
        <v>98000</v>
      </c>
      <c r="D9" s="69">
        <f>C72</f>
        <v>3117</v>
      </c>
      <c r="E9" s="65" t="s">
        <v>6</v>
      </c>
      <c r="F9" s="43" t="s">
        <v>80</v>
      </c>
      <c r="G9" s="45"/>
    </row>
    <row r="10" spans="1:7" x14ac:dyDescent="0.2">
      <c r="A10" s="5"/>
      <c r="B10" s="5"/>
      <c r="C10" s="34"/>
      <c r="D10" s="69"/>
      <c r="E10" s="66"/>
      <c r="F10" s="43"/>
      <c r="G10" s="45"/>
    </row>
    <row r="11" spans="1:7" x14ac:dyDescent="0.2">
      <c r="A11" s="5">
        <f>C68</f>
        <v>2</v>
      </c>
      <c r="B11" s="36">
        <v>203</v>
      </c>
      <c r="C11" s="34">
        <v>65000</v>
      </c>
      <c r="D11" s="69">
        <f>A11</f>
        <v>2</v>
      </c>
      <c r="E11" s="65" t="s">
        <v>37</v>
      </c>
      <c r="F11" s="43" t="s">
        <v>65</v>
      </c>
      <c r="G11" s="64"/>
    </row>
    <row r="12" spans="1:7" x14ac:dyDescent="0.2">
      <c r="A12" s="5"/>
      <c r="B12" s="36">
        <v>503</v>
      </c>
      <c r="C12" s="34">
        <v>11101</v>
      </c>
      <c r="D12" s="69" t="s">
        <v>76</v>
      </c>
      <c r="E12" s="65" t="s">
        <v>76</v>
      </c>
      <c r="F12" s="43" t="s">
        <v>108</v>
      </c>
      <c r="G12" s="45"/>
    </row>
    <row r="13" spans="1:7" x14ac:dyDescent="0.2">
      <c r="A13" s="4">
        <f>C219</f>
        <v>87</v>
      </c>
      <c r="B13" s="4">
        <v>511</v>
      </c>
      <c r="C13" s="35">
        <v>53012</v>
      </c>
      <c r="D13" s="69">
        <f>C219</f>
        <v>87</v>
      </c>
      <c r="E13" s="68" t="s">
        <v>6</v>
      </c>
      <c r="F13" s="46" t="s">
        <v>96</v>
      </c>
      <c r="G13" s="64"/>
    </row>
    <row r="14" spans="1:7" x14ac:dyDescent="0.2">
      <c r="A14" s="4"/>
      <c r="B14" s="4"/>
      <c r="C14" s="35"/>
      <c r="D14" s="69"/>
      <c r="E14" s="68"/>
      <c r="F14" s="46"/>
      <c r="G14" s="64"/>
    </row>
    <row r="15" spans="1:7" ht="12.75" customHeight="1" x14ac:dyDescent="0.2">
      <c r="A15" s="4">
        <f>C134</f>
        <v>281</v>
      </c>
      <c r="B15" s="4">
        <f>IF(VOID!E7=0, "", VOID!E7)</f>
        <v>512</v>
      </c>
      <c r="C15" s="35">
        <v>10100</v>
      </c>
      <c r="D15" s="69">
        <f>C134</f>
        <v>281</v>
      </c>
      <c r="E15" s="67" t="str">
        <f>IF(VOID!H7=0, "", VOID!H7)</f>
        <v>SQ YD</v>
      </c>
      <c r="F15" s="46" t="s">
        <v>79</v>
      </c>
      <c r="G15" s="64"/>
    </row>
    <row r="16" spans="1:7" ht="12.75" customHeight="1" x14ac:dyDescent="0.2">
      <c r="A16" s="37"/>
      <c r="B16" s="37">
        <v>516</v>
      </c>
      <c r="C16" s="64">
        <v>13200</v>
      </c>
      <c r="D16" s="69">
        <f>C226</f>
        <v>68</v>
      </c>
      <c r="E16" s="68" t="s">
        <v>11</v>
      </c>
      <c r="F16" s="46" t="s">
        <v>97</v>
      </c>
      <c r="G16" s="64"/>
    </row>
    <row r="17" spans="1:7" ht="12.75" customHeight="1" x14ac:dyDescent="0.2">
      <c r="A17" s="37"/>
      <c r="B17" s="37">
        <v>516</v>
      </c>
      <c r="C17" s="64">
        <v>13900</v>
      </c>
      <c r="D17" s="69">
        <f>C233</f>
        <v>59</v>
      </c>
      <c r="E17" s="68" t="s">
        <v>11</v>
      </c>
      <c r="F17" s="46" t="s">
        <v>98</v>
      </c>
      <c r="G17" s="64"/>
    </row>
    <row r="18" spans="1:7" ht="12.75" customHeight="1" x14ac:dyDescent="0.2">
      <c r="A18" s="37"/>
      <c r="B18" s="37"/>
      <c r="C18" s="64"/>
      <c r="D18" s="69"/>
      <c r="E18" s="68"/>
      <c r="F18" s="46"/>
      <c r="G18" s="64"/>
    </row>
    <row r="19" spans="1:7" ht="12.75" customHeight="1" x14ac:dyDescent="0.2">
      <c r="A19" s="4">
        <f>C155</f>
        <v>2906</v>
      </c>
      <c r="B19" s="4">
        <v>840</v>
      </c>
      <c r="C19" s="35">
        <v>20001</v>
      </c>
      <c r="D19" s="69">
        <f>C155</f>
        <v>2906</v>
      </c>
      <c r="E19" s="68" t="s">
        <v>11</v>
      </c>
      <c r="F19" s="46" t="s">
        <v>67</v>
      </c>
      <c r="G19" s="64" t="s">
        <v>109</v>
      </c>
    </row>
    <row r="20" spans="1:7" ht="12.75" customHeight="1" x14ac:dyDescent="0.2">
      <c r="A20" s="37">
        <f>C160</f>
        <v>1300</v>
      </c>
      <c r="B20" s="4">
        <v>840</v>
      </c>
      <c r="C20" s="35">
        <v>21000</v>
      </c>
      <c r="D20" s="69">
        <f>C160</f>
        <v>1300</v>
      </c>
      <c r="E20" s="68" t="s">
        <v>6</v>
      </c>
      <c r="F20" s="46" t="s">
        <v>68</v>
      </c>
      <c r="G20" s="35"/>
    </row>
    <row r="21" spans="1:7" ht="12.75" customHeight="1" x14ac:dyDescent="0.2">
      <c r="A21" s="37"/>
      <c r="B21" s="4">
        <v>840</v>
      </c>
      <c r="C21" s="35">
        <v>22000</v>
      </c>
      <c r="D21" s="69">
        <f>C168</f>
        <v>315</v>
      </c>
      <c r="E21" s="68" t="s">
        <v>9</v>
      </c>
      <c r="F21" s="46" t="s">
        <v>69</v>
      </c>
      <c r="G21" s="35"/>
    </row>
    <row r="22" spans="1:7" ht="12.75" customHeight="1" x14ac:dyDescent="0.2">
      <c r="A22" s="4">
        <f>C175</f>
        <v>2660</v>
      </c>
      <c r="B22" s="4">
        <v>840</v>
      </c>
      <c r="C22" s="35">
        <v>23000</v>
      </c>
      <c r="D22" s="69">
        <f>C175</f>
        <v>2660</v>
      </c>
      <c r="E22" s="68" t="s">
        <v>6</v>
      </c>
      <c r="F22" s="46" t="s">
        <v>70</v>
      </c>
      <c r="G22" s="64"/>
    </row>
    <row r="23" spans="1:7" ht="12.75" customHeight="1" x14ac:dyDescent="0.2">
      <c r="A23" s="4"/>
      <c r="B23" s="4"/>
      <c r="C23" s="35"/>
      <c r="D23" s="69"/>
      <c r="E23" s="68"/>
      <c r="F23" s="46"/>
      <c r="G23" s="64"/>
    </row>
    <row r="24" spans="1:7" ht="12.75" customHeight="1" x14ac:dyDescent="0.2">
      <c r="A24" s="4">
        <f>C209</f>
        <v>97.2</v>
      </c>
      <c r="B24" s="4">
        <v>840</v>
      </c>
      <c r="C24" s="35">
        <v>26000</v>
      </c>
      <c r="D24" s="69">
        <f>C209</f>
        <v>97.2</v>
      </c>
      <c r="E24" s="68" t="s">
        <v>10</v>
      </c>
      <c r="F24" s="46" t="s">
        <v>73</v>
      </c>
      <c r="G24" s="35"/>
    </row>
    <row r="25" spans="1:7" ht="12.75" customHeight="1" x14ac:dyDescent="0.2">
      <c r="A25" s="4">
        <f>C214</f>
        <v>2665</v>
      </c>
      <c r="B25" s="4">
        <v>840</v>
      </c>
      <c r="C25" s="35">
        <v>26050</v>
      </c>
      <c r="D25" s="69">
        <f>C214</f>
        <v>2665</v>
      </c>
      <c r="E25" s="68" t="s">
        <v>11</v>
      </c>
      <c r="F25" s="46" t="s">
        <v>77</v>
      </c>
      <c r="G25" s="35"/>
    </row>
    <row r="26" spans="1:7" ht="12.75" customHeight="1" x14ac:dyDescent="0.2">
      <c r="A26" s="4">
        <v>5</v>
      </c>
      <c r="B26" s="4">
        <v>840</v>
      </c>
      <c r="C26" s="35">
        <v>27000</v>
      </c>
      <c r="D26" s="4">
        <v>5</v>
      </c>
      <c r="E26" s="68" t="s">
        <v>74</v>
      </c>
      <c r="F26" s="46" t="s">
        <v>75</v>
      </c>
      <c r="G26" s="35"/>
    </row>
    <row r="27" spans="1:7" s="158" customFormat="1" ht="12.75" customHeight="1" thickBot="1" x14ac:dyDescent="0.25">
      <c r="A27" s="165"/>
      <c r="B27" s="166">
        <v>840</v>
      </c>
      <c r="C27" s="167">
        <v>28000</v>
      </c>
      <c r="D27" s="168" t="s">
        <v>76</v>
      </c>
      <c r="E27" s="169" t="s">
        <v>76</v>
      </c>
      <c r="F27" s="170" t="s">
        <v>102</v>
      </c>
      <c r="G27" s="167"/>
    </row>
    <row r="30" spans="1:7" x14ac:dyDescent="0.2">
      <c r="A30" s="50">
        <v>203</v>
      </c>
      <c r="B30" s="50">
        <v>20000</v>
      </c>
      <c r="C30" s="50">
        <f>ROUNDUP(C42/27,)</f>
        <v>18</v>
      </c>
      <c r="D30" s="51" t="s">
        <v>6</v>
      </c>
      <c r="E30" s="50"/>
      <c r="F30" s="54" t="s">
        <v>62</v>
      </c>
      <c r="G30" s="1" t="s">
        <v>58</v>
      </c>
    </row>
    <row r="32" spans="1:7" ht="15" x14ac:dyDescent="0.25">
      <c r="A32" s="90"/>
      <c r="B32" s="214" t="s">
        <v>170</v>
      </c>
      <c r="C32" s="127">
        <v>277.18400000000003</v>
      </c>
      <c r="D32" s="128" t="s">
        <v>11</v>
      </c>
      <c r="E32" s="126"/>
      <c r="F32" s="129" t="s">
        <v>167</v>
      </c>
    </row>
    <row r="33" spans="1:7" ht="15" x14ac:dyDescent="0.25">
      <c r="A33" s="90"/>
      <c r="B33" s="214"/>
      <c r="C33" s="127">
        <v>67.7</v>
      </c>
      <c r="D33" s="128" t="s">
        <v>10</v>
      </c>
      <c r="E33" s="126"/>
      <c r="F33" s="129" t="s">
        <v>94</v>
      </c>
    </row>
    <row r="34" spans="1:7" ht="15" x14ac:dyDescent="0.25">
      <c r="A34" s="90"/>
      <c r="B34" s="214"/>
      <c r="C34" s="140">
        <f>C32/C33</f>
        <v>4.0942983751846382</v>
      </c>
      <c r="D34" s="128" t="s">
        <v>10</v>
      </c>
      <c r="E34" s="126"/>
      <c r="F34" s="129" t="s">
        <v>168</v>
      </c>
    </row>
    <row r="35" spans="1:7" ht="15" x14ac:dyDescent="0.25">
      <c r="A35" s="90"/>
      <c r="B35" s="214"/>
      <c r="C35" s="127"/>
      <c r="D35" s="128"/>
      <c r="E35" s="126"/>
      <c r="F35" s="129"/>
    </row>
    <row r="36" spans="1:7" ht="15" x14ac:dyDescent="0.25">
      <c r="A36" s="90"/>
      <c r="B36" s="214"/>
      <c r="C36" s="127">
        <v>106.62</v>
      </c>
      <c r="D36" s="128" t="s">
        <v>11</v>
      </c>
      <c r="E36" s="126"/>
      <c r="F36" s="129" t="s">
        <v>169</v>
      </c>
    </row>
    <row r="37" spans="1:7" ht="15" x14ac:dyDescent="0.25">
      <c r="A37" s="90"/>
      <c r="B37" s="214"/>
      <c r="C37" s="149">
        <f>C36*C34</f>
        <v>436.53409276218616</v>
      </c>
      <c r="D37" s="150" t="s">
        <v>83</v>
      </c>
      <c r="E37" s="150"/>
      <c r="F37" s="151" t="s">
        <v>170</v>
      </c>
    </row>
    <row r="38" spans="1:7" ht="15" x14ac:dyDescent="0.25">
      <c r="A38" s="90"/>
      <c r="B38" s="148"/>
      <c r="C38" s="127"/>
      <c r="D38" s="128"/>
      <c r="E38" s="126"/>
      <c r="F38" s="129"/>
    </row>
    <row r="39" spans="1:7" ht="15" x14ac:dyDescent="0.25">
      <c r="A39" s="90"/>
      <c r="B39" s="214" t="s">
        <v>173</v>
      </c>
      <c r="C39" s="127">
        <f>0.5*1</f>
        <v>0.5</v>
      </c>
      <c r="D39" s="128" t="s">
        <v>11</v>
      </c>
      <c r="E39" s="126"/>
      <c r="F39" s="129" t="s">
        <v>171</v>
      </c>
    </row>
    <row r="40" spans="1:7" ht="15" x14ac:dyDescent="0.25">
      <c r="A40" s="90"/>
      <c r="B40" s="219"/>
      <c r="C40" s="149">
        <f>C33*C39</f>
        <v>33.85</v>
      </c>
      <c r="D40" s="150" t="s">
        <v>83</v>
      </c>
      <c r="E40" s="150"/>
      <c r="F40" s="151" t="s">
        <v>172</v>
      </c>
    </row>
    <row r="41" spans="1:7" x14ac:dyDescent="0.2">
      <c r="A41" s="90"/>
      <c r="B41" s="126"/>
      <c r="C41" s="126"/>
      <c r="D41" s="126"/>
      <c r="E41" s="126"/>
      <c r="F41" s="126"/>
    </row>
    <row r="42" spans="1:7" x14ac:dyDescent="0.2">
      <c r="A42" s="90"/>
      <c r="B42" s="126"/>
      <c r="C42" s="130">
        <f>C37+C40</f>
        <v>470.38409276218619</v>
      </c>
      <c r="D42" s="128" t="s">
        <v>83</v>
      </c>
      <c r="E42" s="126"/>
      <c r="F42" s="129" t="s">
        <v>122</v>
      </c>
    </row>
    <row r="43" spans="1:7" x14ac:dyDescent="0.2">
      <c r="F43" s="2"/>
    </row>
    <row r="44" spans="1:7" x14ac:dyDescent="0.2">
      <c r="A44" s="50">
        <v>203</v>
      </c>
      <c r="B44" s="50">
        <v>35110</v>
      </c>
      <c r="C44" s="50">
        <f>ROUNDUP(C59/27,)</f>
        <v>691</v>
      </c>
      <c r="D44" s="51" t="s">
        <v>6</v>
      </c>
      <c r="E44" s="50"/>
      <c r="F44" s="54" t="s">
        <v>63</v>
      </c>
      <c r="G44" s="1" t="s">
        <v>58</v>
      </c>
    </row>
    <row r="45" spans="1:7" x14ac:dyDescent="0.2">
      <c r="A45" s="21"/>
      <c r="B45" s="21"/>
      <c r="C45" s="21"/>
      <c r="D45" s="52"/>
      <c r="E45" s="21"/>
      <c r="F45" s="55"/>
    </row>
    <row r="46" spans="1:7" ht="15" x14ac:dyDescent="0.25">
      <c r="A46" s="21"/>
      <c r="B46" s="21"/>
      <c r="C46" s="84">
        <v>2740</v>
      </c>
      <c r="D46" s="40" t="s">
        <v>11</v>
      </c>
      <c r="F46" s="39" t="s">
        <v>131</v>
      </c>
    </row>
    <row r="47" spans="1:7" ht="15" x14ac:dyDescent="0.25">
      <c r="A47" s="21"/>
      <c r="B47" s="21"/>
      <c r="C47" s="84">
        <v>1.25</v>
      </c>
      <c r="D47" s="40" t="s">
        <v>10</v>
      </c>
      <c r="F47" s="39" t="s">
        <v>130</v>
      </c>
    </row>
    <row r="48" spans="1:7" ht="15" x14ac:dyDescent="0.25">
      <c r="A48" s="21"/>
      <c r="B48" s="21"/>
      <c r="C48" s="62">
        <f>C46*C47</f>
        <v>3425</v>
      </c>
      <c r="D48" s="40" t="s">
        <v>83</v>
      </c>
      <c r="F48" s="39" t="s">
        <v>84</v>
      </c>
    </row>
    <row r="49" spans="1:7" ht="15" x14ac:dyDescent="0.25">
      <c r="A49" s="21"/>
      <c r="B49" s="21"/>
      <c r="C49" s="84">
        <v>5312</v>
      </c>
      <c r="D49" s="40" t="s">
        <v>11</v>
      </c>
      <c r="F49" s="39" t="s">
        <v>137</v>
      </c>
    </row>
    <row r="50" spans="1:7" ht="15" x14ac:dyDescent="0.25">
      <c r="A50" s="21"/>
      <c r="B50" s="21"/>
      <c r="C50" s="84">
        <v>1.25</v>
      </c>
      <c r="D50" s="40" t="s">
        <v>10</v>
      </c>
      <c r="F50" s="39" t="s">
        <v>130</v>
      </c>
    </row>
    <row r="51" spans="1:7" ht="15" x14ac:dyDescent="0.25">
      <c r="A51" s="21"/>
      <c r="B51" s="21"/>
      <c r="C51" s="62">
        <f>C49*C50</f>
        <v>6640</v>
      </c>
      <c r="D51" s="40" t="s">
        <v>83</v>
      </c>
      <c r="F51" s="39" t="s">
        <v>84</v>
      </c>
    </row>
    <row r="52" spans="1:7" ht="15" x14ac:dyDescent="0.25">
      <c r="A52" s="21"/>
      <c r="B52" s="21"/>
      <c r="C52" s="84">
        <v>4675</v>
      </c>
      <c r="D52" s="40" t="s">
        <v>11</v>
      </c>
      <c r="F52" s="39" t="s">
        <v>132</v>
      </c>
    </row>
    <row r="53" spans="1:7" ht="15" x14ac:dyDescent="0.25">
      <c r="A53" s="21"/>
      <c r="B53" s="21"/>
      <c r="C53" s="84">
        <v>1.25</v>
      </c>
      <c r="D53" s="40" t="s">
        <v>10</v>
      </c>
      <c r="F53" s="39" t="s">
        <v>130</v>
      </c>
    </row>
    <row r="54" spans="1:7" ht="15" x14ac:dyDescent="0.25">
      <c r="A54" s="21"/>
      <c r="B54" s="21"/>
      <c r="C54" s="62">
        <f>C52*C53</f>
        <v>5843.75</v>
      </c>
      <c r="D54" s="40" t="s">
        <v>83</v>
      </c>
      <c r="F54" s="39" t="s">
        <v>84</v>
      </c>
    </row>
    <row r="55" spans="1:7" ht="15" x14ac:dyDescent="0.25">
      <c r="A55" s="21"/>
      <c r="B55" s="21"/>
      <c r="C55" s="94">
        <v>2179.1799999999998</v>
      </c>
      <c r="D55" s="40" t="s">
        <v>11</v>
      </c>
      <c r="F55" s="39" t="s">
        <v>136</v>
      </c>
    </row>
    <row r="56" spans="1:7" ht="15" x14ac:dyDescent="0.25">
      <c r="A56" s="21"/>
      <c r="B56" s="21"/>
      <c r="C56" s="94">
        <f>1.25</f>
        <v>1.25</v>
      </c>
      <c r="D56" s="40" t="s">
        <v>10</v>
      </c>
      <c r="F56" s="39" t="s">
        <v>130</v>
      </c>
    </row>
    <row r="57" spans="1:7" ht="15" x14ac:dyDescent="0.25">
      <c r="A57" s="21"/>
      <c r="B57" s="21"/>
      <c r="C57" s="95">
        <f>C55*C56</f>
        <v>2723.9749999999999</v>
      </c>
      <c r="D57" s="40" t="s">
        <v>83</v>
      </c>
      <c r="F57" s="39" t="s">
        <v>84</v>
      </c>
    </row>
    <row r="58" spans="1:7" x14ac:dyDescent="0.2">
      <c r="A58" s="21"/>
      <c r="B58" s="21"/>
      <c r="C58"/>
      <c r="D58" s="40"/>
      <c r="F58" s="39"/>
    </row>
    <row r="59" spans="1:7" x14ac:dyDescent="0.2">
      <c r="A59" s="21"/>
      <c r="B59" s="21"/>
      <c r="C59" s="63">
        <f>C48+C51+C54+C57</f>
        <v>18632.724999999999</v>
      </c>
      <c r="D59" s="40" t="s">
        <v>83</v>
      </c>
      <c r="F59" s="39" t="s">
        <v>122</v>
      </c>
    </row>
    <row r="60" spans="1:7" x14ac:dyDescent="0.2">
      <c r="A60" s="21"/>
      <c r="B60" s="21"/>
      <c r="C60" s="21"/>
      <c r="D60" s="21"/>
      <c r="E60" s="21"/>
      <c r="F60" s="23"/>
    </row>
    <row r="61" spans="1:7" x14ac:dyDescent="0.2">
      <c r="A61" s="21"/>
      <c r="B61" s="21"/>
      <c r="C61" s="21"/>
      <c r="D61" s="21"/>
      <c r="E61" s="21"/>
      <c r="F61" s="23"/>
    </row>
    <row r="62" spans="1:7" x14ac:dyDescent="0.2">
      <c r="A62" s="50">
        <v>203</v>
      </c>
      <c r="B62" s="146">
        <v>35120</v>
      </c>
      <c r="C62" s="146">
        <f>ROUNDUP(C66/27,)</f>
        <v>105</v>
      </c>
      <c r="D62" s="146" t="s">
        <v>6</v>
      </c>
      <c r="E62" s="146"/>
      <c r="F62" s="147" t="s">
        <v>82</v>
      </c>
      <c r="G62" s="1" t="s">
        <v>58</v>
      </c>
    </row>
    <row r="63" spans="1:7" x14ac:dyDescent="0.2">
      <c r="B63" s="158"/>
      <c r="C63" s="158"/>
      <c r="D63" s="158"/>
      <c r="E63" s="158"/>
      <c r="F63" s="159"/>
    </row>
    <row r="64" spans="1:7" ht="15" x14ac:dyDescent="0.25">
      <c r="A64" s="90"/>
      <c r="B64" s="160"/>
      <c r="C64" s="161">
        <f>C172</f>
        <v>2826.9010000000003</v>
      </c>
      <c r="D64" s="160" t="s">
        <v>11</v>
      </c>
      <c r="E64" s="160"/>
      <c r="F64" s="162" t="s">
        <v>163</v>
      </c>
    </row>
    <row r="65" spans="1:7" ht="15" x14ac:dyDescent="0.25">
      <c r="A65" s="90"/>
      <c r="B65" s="160"/>
      <c r="C65" s="163">
        <v>1</v>
      </c>
      <c r="D65" s="160" t="s">
        <v>10</v>
      </c>
      <c r="E65" s="160"/>
      <c r="F65" s="162" t="s">
        <v>164</v>
      </c>
    </row>
    <row r="66" spans="1:7" ht="15" x14ac:dyDescent="0.25">
      <c r="A66" s="90"/>
      <c r="B66" s="160"/>
      <c r="C66" s="164">
        <f>C64*C65</f>
        <v>2826.9010000000003</v>
      </c>
      <c r="D66" s="160" t="s">
        <v>83</v>
      </c>
      <c r="E66" s="160"/>
      <c r="F66" s="162" t="s">
        <v>84</v>
      </c>
    </row>
    <row r="67" spans="1:7" x14ac:dyDescent="0.2">
      <c r="D67" s="40"/>
      <c r="F67" s="39"/>
    </row>
    <row r="68" spans="1:7" x14ac:dyDescent="0.2">
      <c r="A68" s="59">
        <v>203</v>
      </c>
      <c r="B68" s="57">
        <v>65000</v>
      </c>
      <c r="C68" s="57">
        <f>C70</f>
        <v>2</v>
      </c>
      <c r="D68" s="53" t="s">
        <v>37</v>
      </c>
      <c r="E68" s="58"/>
      <c r="F68" s="49" t="s">
        <v>65</v>
      </c>
      <c r="G68" s="1" t="s">
        <v>58</v>
      </c>
    </row>
    <row r="69" spans="1:7" x14ac:dyDescent="0.2">
      <c r="D69" s="40"/>
      <c r="F69" s="39"/>
    </row>
    <row r="70" spans="1:7" ht="15" x14ac:dyDescent="0.25">
      <c r="A70" s="126"/>
      <c r="B70" s="126"/>
      <c r="C70" s="127">
        <v>2</v>
      </c>
      <c r="D70" s="128" t="s">
        <v>37</v>
      </c>
      <c r="E70" s="126"/>
      <c r="F70" s="129" t="s">
        <v>92</v>
      </c>
    </row>
    <row r="71" spans="1:7" x14ac:dyDescent="0.2">
      <c r="D71" s="40"/>
      <c r="F71" s="39"/>
    </row>
    <row r="72" spans="1:7" x14ac:dyDescent="0.2">
      <c r="A72" s="57">
        <v>203</v>
      </c>
      <c r="B72" s="57">
        <v>98000</v>
      </c>
      <c r="C72" s="57">
        <f>ROUNDUP(C87/27,)</f>
        <v>3117</v>
      </c>
      <c r="D72" s="53" t="s">
        <v>6</v>
      </c>
      <c r="E72" s="58"/>
      <c r="F72" s="49" t="s">
        <v>80</v>
      </c>
      <c r="G72" s="1" t="s">
        <v>58</v>
      </c>
    </row>
    <row r="73" spans="1:7" x14ac:dyDescent="0.2">
      <c r="D73" s="40"/>
      <c r="F73" s="39"/>
    </row>
    <row r="74" spans="1:7" ht="15" x14ac:dyDescent="0.25">
      <c r="A74" s="21"/>
      <c r="B74" s="21"/>
      <c r="C74" s="84">
        <v>0</v>
      </c>
      <c r="D74" s="40" t="s">
        <v>11</v>
      </c>
      <c r="F74" s="39" t="s">
        <v>131</v>
      </c>
    </row>
    <row r="75" spans="1:7" ht="15" x14ac:dyDescent="0.25">
      <c r="A75" s="21"/>
      <c r="B75" s="21"/>
      <c r="C75" s="84">
        <v>0</v>
      </c>
      <c r="D75" s="40" t="s">
        <v>10</v>
      </c>
      <c r="F75" s="39" t="s">
        <v>130</v>
      </c>
    </row>
    <row r="76" spans="1:7" ht="15" x14ac:dyDescent="0.25">
      <c r="A76" s="21"/>
      <c r="B76" s="21"/>
      <c r="C76" s="62">
        <f>C74*C75</f>
        <v>0</v>
      </c>
      <c r="D76" s="40" t="s">
        <v>83</v>
      </c>
      <c r="F76" s="39" t="s">
        <v>84</v>
      </c>
    </row>
    <row r="77" spans="1:7" ht="15" x14ac:dyDescent="0.25">
      <c r="A77" s="21"/>
      <c r="B77" s="21"/>
      <c r="C77" s="84">
        <v>0</v>
      </c>
      <c r="D77" s="40" t="s">
        <v>11</v>
      </c>
      <c r="F77" s="39" t="s">
        <v>134</v>
      </c>
    </row>
    <row r="78" spans="1:7" ht="15" x14ac:dyDescent="0.25">
      <c r="A78" s="21"/>
      <c r="B78" s="21"/>
      <c r="C78" s="84">
        <v>0</v>
      </c>
      <c r="D78" s="40" t="s">
        <v>10</v>
      </c>
      <c r="F78" s="39" t="s">
        <v>130</v>
      </c>
    </row>
    <row r="79" spans="1:7" ht="15" x14ac:dyDescent="0.25">
      <c r="A79" s="21"/>
      <c r="B79" s="21"/>
      <c r="C79" s="62">
        <f>C77*C78</f>
        <v>0</v>
      </c>
      <c r="D79" s="40" t="s">
        <v>83</v>
      </c>
      <c r="F79" s="39" t="s">
        <v>84</v>
      </c>
    </row>
    <row r="80" spans="1:7" ht="15" x14ac:dyDescent="0.25">
      <c r="A80" s="21"/>
      <c r="B80" s="21"/>
      <c r="C80" s="84">
        <v>4675</v>
      </c>
      <c r="D80" s="40" t="s">
        <v>11</v>
      </c>
      <c r="F80" s="39" t="s">
        <v>132</v>
      </c>
    </row>
    <row r="81" spans="1:7" ht="15" x14ac:dyDescent="0.25">
      <c r="A81" s="21"/>
      <c r="B81" s="21"/>
      <c r="C81" s="84">
        <v>18</v>
      </c>
      <c r="D81" s="40" t="s">
        <v>10</v>
      </c>
      <c r="F81" s="39" t="s">
        <v>130</v>
      </c>
    </row>
    <row r="82" spans="1:7" ht="15" x14ac:dyDescent="0.25">
      <c r="A82" s="21"/>
      <c r="B82" s="21"/>
      <c r="C82" s="62">
        <f>C80*C81</f>
        <v>84150</v>
      </c>
      <c r="D82" s="40" t="s">
        <v>83</v>
      </c>
      <c r="F82" s="39" t="s">
        <v>84</v>
      </c>
    </row>
    <row r="83" spans="1:7" ht="15" x14ac:dyDescent="0.25">
      <c r="A83" s="21"/>
      <c r="B83" s="21"/>
      <c r="C83" s="84">
        <v>0</v>
      </c>
      <c r="D83" s="40" t="s">
        <v>11</v>
      </c>
      <c r="F83" s="39" t="s">
        <v>133</v>
      </c>
    </row>
    <row r="84" spans="1:7" ht="15" x14ac:dyDescent="0.25">
      <c r="A84" s="21"/>
      <c r="B84" s="21"/>
      <c r="C84" s="84">
        <v>0</v>
      </c>
      <c r="D84" s="40" t="s">
        <v>10</v>
      </c>
      <c r="F84" s="39" t="s">
        <v>130</v>
      </c>
    </row>
    <row r="85" spans="1:7" ht="15" x14ac:dyDescent="0.25">
      <c r="A85" s="21"/>
      <c r="B85" s="21"/>
      <c r="C85" s="62">
        <f>C83*C84</f>
        <v>0</v>
      </c>
      <c r="D85" s="40" t="s">
        <v>83</v>
      </c>
      <c r="F85" s="39" t="s">
        <v>84</v>
      </c>
    </row>
    <row r="86" spans="1:7" x14ac:dyDescent="0.2">
      <c r="A86" s="21"/>
      <c r="B86" s="21"/>
      <c r="C86"/>
      <c r="D86" s="40"/>
      <c r="F86" s="39"/>
    </row>
    <row r="87" spans="1:7" x14ac:dyDescent="0.2">
      <c r="A87" s="21"/>
      <c r="B87" s="21"/>
      <c r="C87" s="63">
        <f>C76+C79+C82+C85</f>
        <v>84150</v>
      </c>
      <c r="D87" s="40" t="s">
        <v>83</v>
      </c>
      <c r="F87" s="39" t="s">
        <v>122</v>
      </c>
    </row>
    <row r="88" spans="1:7" x14ac:dyDescent="0.2">
      <c r="D88" s="40"/>
      <c r="F88" s="39"/>
    </row>
    <row r="89" spans="1:7" customFormat="1" x14ac:dyDescent="0.2">
      <c r="A89" s="57">
        <v>203</v>
      </c>
      <c r="B89" s="53" t="s">
        <v>103</v>
      </c>
      <c r="C89" s="57">
        <v>12305</v>
      </c>
      <c r="D89" s="53" t="s">
        <v>6</v>
      </c>
      <c r="E89" s="58"/>
      <c r="F89" s="49" t="s">
        <v>106</v>
      </c>
      <c r="G89" s="1" t="s">
        <v>58</v>
      </c>
    </row>
    <row r="90" spans="1:7" customFormat="1" x14ac:dyDescent="0.2">
      <c r="A90" s="1"/>
      <c r="B90" s="1"/>
      <c r="C90" s="1"/>
      <c r="D90" s="40"/>
      <c r="E90" s="1"/>
      <c r="F90" s="39"/>
      <c r="G90" s="1"/>
    </row>
    <row r="91" spans="1:7" customFormat="1" ht="15" x14ac:dyDescent="0.25">
      <c r="A91" s="21"/>
      <c r="B91" s="21"/>
      <c r="C91" s="84">
        <v>2740</v>
      </c>
      <c r="D91" s="40" t="s">
        <v>11</v>
      </c>
      <c r="E91" s="1"/>
      <c r="F91" s="39" t="s">
        <v>131</v>
      </c>
      <c r="G91" s="1"/>
    </row>
    <row r="92" spans="1:7" customFormat="1" ht="15" x14ac:dyDescent="0.25">
      <c r="A92" s="21"/>
      <c r="B92" s="21"/>
      <c r="C92" s="84">
        <v>43</v>
      </c>
      <c r="D92" s="40" t="s">
        <v>10</v>
      </c>
      <c r="E92" s="1"/>
      <c r="F92" s="39" t="s">
        <v>130</v>
      </c>
      <c r="G92" s="1"/>
    </row>
    <row r="93" spans="1:7" customFormat="1" ht="15" x14ac:dyDescent="0.25">
      <c r="A93" s="21"/>
      <c r="B93" s="21"/>
      <c r="C93" s="62">
        <v>117820</v>
      </c>
      <c r="D93" s="40" t="s">
        <v>83</v>
      </c>
      <c r="E93" s="1"/>
      <c r="F93" s="39" t="s">
        <v>84</v>
      </c>
      <c r="G93" s="1"/>
    </row>
    <row r="94" spans="1:7" customFormat="1" ht="15" x14ac:dyDescent="0.25">
      <c r="A94" s="21"/>
      <c r="B94" s="21"/>
      <c r="C94" s="84">
        <v>5312</v>
      </c>
      <c r="D94" s="40" t="s">
        <v>11</v>
      </c>
      <c r="E94" s="1"/>
      <c r="F94" s="39" t="s">
        <v>134</v>
      </c>
      <c r="G94" s="1"/>
    </row>
    <row r="95" spans="1:7" customFormat="1" ht="15" x14ac:dyDescent="0.25">
      <c r="A95" s="21"/>
      <c r="B95" s="21"/>
      <c r="C95" s="91">
        <v>22.90486285941434</v>
      </c>
      <c r="D95" s="40" t="s">
        <v>10</v>
      </c>
      <c r="E95" s="1"/>
      <c r="F95" s="39" t="s">
        <v>135</v>
      </c>
      <c r="G95" s="1"/>
    </row>
    <row r="96" spans="1:7" customFormat="1" ht="15" x14ac:dyDescent="0.25">
      <c r="A96" s="21"/>
      <c r="B96" s="21"/>
      <c r="C96" s="92">
        <v>121670.63150920898</v>
      </c>
      <c r="D96" s="40" t="s">
        <v>83</v>
      </c>
      <c r="E96" s="1"/>
      <c r="F96" s="39" t="s">
        <v>84</v>
      </c>
      <c r="G96" s="1"/>
    </row>
    <row r="97" spans="1:7" customFormat="1" ht="15" x14ac:dyDescent="0.25">
      <c r="A97" s="21"/>
      <c r="B97" s="21"/>
      <c r="C97" s="84">
        <v>4675</v>
      </c>
      <c r="D97" s="40" t="s">
        <v>11</v>
      </c>
      <c r="E97" s="1"/>
      <c r="F97" s="39" t="s">
        <v>132</v>
      </c>
      <c r="G97" s="1"/>
    </row>
    <row r="98" spans="1:7" customFormat="1" ht="15" x14ac:dyDescent="0.25">
      <c r="A98" s="21"/>
      <c r="B98" s="21"/>
      <c r="C98" s="91">
        <v>5.4288133543002299</v>
      </c>
      <c r="D98" s="40" t="s">
        <v>10</v>
      </c>
      <c r="E98" s="1"/>
      <c r="F98" s="39" t="s">
        <v>135</v>
      </c>
      <c r="G98" s="1"/>
    </row>
    <row r="99" spans="1:7" customFormat="1" ht="15" x14ac:dyDescent="0.25">
      <c r="A99" s="21"/>
      <c r="B99" s="21"/>
      <c r="C99" s="92">
        <v>25379.702431353577</v>
      </c>
      <c r="D99" s="40" t="s">
        <v>83</v>
      </c>
      <c r="E99" s="1"/>
      <c r="F99" s="39" t="s">
        <v>84</v>
      </c>
      <c r="G99" s="1"/>
    </row>
    <row r="100" spans="1:7" customFormat="1" ht="15" x14ac:dyDescent="0.25">
      <c r="A100" s="21"/>
      <c r="B100" s="21"/>
      <c r="C100" s="94">
        <v>2179.1799999999998</v>
      </c>
      <c r="D100" s="40" t="s">
        <v>11</v>
      </c>
      <c r="E100" s="1"/>
      <c r="F100" s="39" t="s">
        <v>136</v>
      </c>
      <c r="G100" s="1"/>
    </row>
    <row r="101" spans="1:7" customFormat="1" ht="15" x14ac:dyDescent="0.25">
      <c r="A101" s="21"/>
      <c r="B101" s="21"/>
      <c r="C101" s="84">
        <v>21</v>
      </c>
      <c r="D101" s="40" t="s">
        <v>10</v>
      </c>
      <c r="E101" s="1"/>
      <c r="F101" s="39" t="s">
        <v>130</v>
      </c>
      <c r="G101" s="1"/>
    </row>
    <row r="102" spans="1:7" customFormat="1" ht="15" x14ac:dyDescent="0.25">
      <c r="A102" s="21"/>
      <c r="B102" s="21"/>
      <c r="C102" s="62">
        <v>45762.78</v>
      </c>
      <c r="D102" s="40" t="s">
        <v>83</v>
      </c>
      <c r="E102" s="1"/>
      <c r="F102" s="39" t="s">
        <v>84</v>
      </c>
      <c r="G102" s="1"/>
    </row>
    <row r="103" spans="1:7" customFormat="1" ht="15" x14ac:dyDescent="0.25">
      <c r="A103" s="52"/>
      <c r="B103" s="52"/>
      <c r="C103" s="94">
        <v>766</v>
      </c>
      <c r="D103" s="40" t="s">
        <v>11</v>
      </c>
      <c r="E103" s="40"/>
      <c r="F103" s="39" t="s">
        <v>138</v>
      </c>
      <c r="G103" s="1"/>
    </row>
    <row r="104" spans="1:7" customFormat="1" ht="15" x14ac:dyDescent="0.25">
      <c r="A104" s="52"/>
      <c r="B104" s="52"/>
      <c r="C104" s="94">
        <v>16</v>
      </c>
      <c r="D104" s="40" t="s">
        <v>10</v>
      </c>
      <c r="E104" s="40"/>
      <c r="F104" s="39" t="s">
        <v>130</v>
      </c>
      <c r="G104" s="1"/>
    </row>
    <row r="105" spans="1:7" customFormat="1" ht="15" x14ac:dyDescent="0.25">
      <c r="A105" s="52"/>
      <c r="B105" s="52"/>
      <c r="C105" s="95">
        <v>12256</v>
      </c>
      <c r="D105" s="40" t="s">
        <v>83</v>
      </c>
      <c r="E105" s="40"/>
      <c r="F105" s="39" t="s">
        <v>84</v>
      </c>
      <c r="G105" s="1"/>
    </row>
    <row r="106" spans="1:7" customFormat="1" ht="15" x14ac:dyDescent="0.25">
      <c r="A106" s="52"/>
      <c r="B106" s="52"/>
      <c r="C106" s="94">
        <v>759</v>
      </c>
      <c r="D106" s="40" t="s">
        <v>11</v>
      </c>
      <c r="E106" s="40"/>
      <c r="F106" s="39" t="s">
        <v>139</v>
      </c>
      <c r="G106" s="1"/>
    </row>
    <row r="107" spans="1:7" customFormat="1" ht="15" x14ac:dyDescent="0.25">
      <c r="A107" s="52"/>
      <c r="B107" s="52"/>
      <c r="C107" s="94">
        <v>11</v>
      </c>
      <c r="D107" s="40" t="s">
        <v>10</v>
      </c>
      <c r="E107" s="40"/>
      <c r="F107" s="39" t="s">
        <v>130</v>
      </c>
      <c r="G107" s="1"/>
    </row>
    <row r="108" spans="1:7" customFormat="1" ht="15" x14ac:dyDescent="0.25">
      <c r="A108" s="52"/>
      <c r="B108" s="52"/>
      <c r="C108" s="95">
        <v>8349</v>
      </c>
      <c r="D108" s="40" t="s">
        <v>83</v>
      </c>
      <c r="E108" s="40"/>
      <c r="F108" s="39" t="s">
        <v>84</v>
      </c>
      <c r="G108" s="1"/>
    </row>
    <row r="109" spans="1:7" customFormat="1" ht="15" x14ac:dyDescent="0.25">
      <c r="A109" s="52"/>
      <c r="B109" s="52"/>
      <c r="C109" s="94">
        <v>163</v>
      </c>
      <c r="D109" s="40" t="s">
        <v>11</v>
      </c>
      <c r="E109" s="40"/>
      <c r="F109" s="39" t="s">
        <v>140</v>
      </c>
      <c r="G109" s="1"/>
    </row>
    <row r="110" spans="1:7" customFormat="1" ht="15" x14ac:dyDescent="0.25">
      <c r="A110" s="52"/>
      <c r="B110" s="52"/>
      <c r="C110" s="94">
        <v>6</v>
      </c>
      <c r="D110" s="40" t="s">
        <v>10</v>
      </c>
      <c r="E110" s="40"/>
      <c r="F110" s="39" t="s">
        <v>130</v>
      </c>
      <c r="G110" s="1"/>
    </row>
    <row r="111" spans="1:7" customFormat="1" ht="15" x14ac:dyDescent="0.25">
      <c r="A111" s="52"/>
      <c r="B111" s="52"/>
      <c r="C111" s="95">
        <v>978</v>
      </c>
      <c r="D111" s="40" t="s">
        <v>83</v>
      </c>
      <c r="E111" s="40"/>
      <c r="F111" s="39" t="s">
        <v>84</v>
      </c>
      <c r="G111" s="1"/>
    </row>
    <row r="112" spans="1:7" customFormat="1" x14ac:dyDescent="0.2">
      <c r="A112" s="21"/>
      <c r="B112" s="21"/>
      <c r="D112" s="40"/>
      <c r="E112" s="1"/>
      <c r="F112" s="39"/>
      <c r="G112" s="1"/>
    </row>
    <row r="113" spans="1:7" customFormat="1" x14ac:dyDescent="0.2">
      <c r="A113" s="21"/>
      <c r="B113" s="21"/>
      <c r="C113" s="93">
        <v>332216.11394056259</v>
      </c>
      <c r="D113" s="40" t="s">
        <v>83</v>
      </c>
      <c r="E113" s="1"/>
      <c r="F113" s="39" t="s">
        <v>122</v>
      </c>
      <c r="G113" s="1"/>
    </row>
    <row r="114" spans="1:7" x14ac:dyDescent="0.2">
      <c r="F114" s="2"/>
    </row>
    <row r="115" spans="1:7" x14ac:dyDescent="0.2">
      <c r="A115" s="57">
        <v>203</v>
      </c>
      <c r="B115" s="53" t="s">
        <v>103</v>
      </c>
      <c r="C115" s="57">
        <v>758</v>
      </c>
      <c r="D115" s="53" t="s">
        <v>6</v>
      </c>
      <c r="E115" s="58"/>
      <c r="F115" s="49" t="s">
        <v>107</v>
      </c>
    </row>
    <row r="116" spans="1:7" x14ac:dyDescent="0.2">
      <c r="F116" s="2"/>
    </row>
    <row r="117" spans="1:7" ht="15" x14ac:dyDescent="0.25">
      <c r="A117" s="21"/>
      <c r="B117" s="21"/>
      <c r="C117" s="84">
        <v>2740</v>
      </c>
      <c r="D117" s="40" t="s">
        <v>11</v>
      </c>
      <c r="F117" s="39" t="s">
        <v>131</v>
      </c>
    </row>
    <row r="118" spans="1:7" ht="15" x14ac:dyDescent="0.25">
      <c r="A118" s="21"/>
      <c r="B118" s="21"/>
      <c r="C118" s="84">
        <v>2</v>
      </c>
      <c r="D118" s="40" t="s">
        <v>10</v>
      </c>
      <c r="F118" s="39" t="s">
        <v>130</v>
      </c>
    </row>
    <row r="119" spans="1:7" ht="15" x14ac:dyDescent="0.25">
      <c r="A119" s="21"/>
      <c r="B119" s="21"/>
      <c r="C119" s="62">
        <v>5480</v>
      </c>
      <c r="D119" s="40" t="s">
        <v>83</v>
      </c>
      <c r="F119" s="39" t="s">
        <v>84</v>
      </c>
    </row>
    <row r="120" spans="1:7" ht="15" x14ac:dyDescent="0.25">
      <c r="A120" s="21"/>
      <c r="B120" s="21"/>
      <c r="C120" s="84">
        <v>5312</v>
      </c>
      <c r="D120" s="40" t="s">
        <v>11</v>
      </c>
      <c r="F120" s="39" t="s">
        <v>134</v>
      </c>
    </row>
    <row r="121" spans="1:7" ht="15" x14ac:dyDescent="0.25">
      <c r="A121" s="21"/>
      <c r="B121" s="21"/>
      <c r="C121" s="84">
        <v>2</v>
      </c>
      <c r="D121" s="40" t="s">
        <v>10</v>
      </c>
      <c r="F121" s="39" t="s">
        <v>130</v>
      </c>
    </row>
    <row r="122" spans="1:7" ht="15" x14ac:dyDescent="0.25">
      <c r="A122" s="21"/>
      <c r="B122" s="21"/>
      <c r="C122" s="62">
        <v>10624</v>
      </c>
      <c r="D122" s="40" t="s">
        <v>83</v>
      </c>
      <c r="F122" s="39" t="s">
        <v>84</v>
      </c>
    </row>
    <row r="123" spans="1:7" ht="15" x14ac:dyDescent="0.25">
      <c r="A123" s="21"/>
      <c r="B123" s="21"/>
      <c r="C123" s="84">
        <v>0</v>
      </c>
      <c r="D123" s="40" t="s">
        <v>11</v>
      </c>
      <c r="F123" s="39" t="s">
        <v>132</v>
      </c>
    </row>
    <row r="124" spans="1:7" ht="15" x14ac:dyDescent="0.25">
      <c r="A124" s="21"/>
      <c r="B124" s="21"/>
      <c r="C124" s="84">
        <v>0</v>
      </c>
      <c r="D124" s="40" t="s">
        <v>10</v>
      </c>
      <c r="F124" s="39" t="s">
        <v>130</v>
      </c>
    </row>
    <row r="125" spans="1:7" ht="15" x14ac:dyDescent="0.25">
      <c r="A125" s="21"/>
      <c r="B125" s="21"/>
      <c r="C125" s="62">
        <v>0</v>
      </c>
      <c r="D125" s="40" t="s">
        <v>83</v>
      </c>
      <c r="F125" s="39" t="s">
        <v>84</v>
      </c>
    </row>
    <row r="126" spans="1:7" ht="15" x14ac:dyDescent="0.25">
      <c r="A126" s="21"/>
      <c r="B126" s="21"/>
      <c r="C126" s="94">
        <v>2179.1799999999998</v>
      </c>
      <c r="D126" s="40" t="s">
        <v>11</v>
      </c>
      <c r="F126" s="39" t="s">
        <v>136</v>
      </c>
    </row>
    <row r="127" spans="1:7" ht="15" x14ac:dyDescent="0.25">
      <c r="A127" s="21"/>
      <c r="B127" s="21"/>
      <c r="C127" s="84">
        <v>2</v>
      </c>
      <c r="D127" s="40" t="s">
        <v>10</v>
      </c>
      <c r="F127" s="39" t="s">
        <v>130</v>
      </c>
    </row>
    <row r="128" spans="1:7" ht="15" x14ac:dyDescent="0.25">
      <c r="A128" s="21"/>
      <c r="B128" s="21"/>
      <c r="C128" s="62">
        <v>4358.3599999999997</v>
      </c>
      <c r="D128" s="40" t="s">
        <v>83</v>
      </c>
      <c r="F128" s="39" t="s">
        <v>84</v>
      </c>
    </row>
    <row r="129" spans="1:7" x14ac:dyDescent="0.2">
      <c r="A129" s="21"/>
      <c r="B129" s="21"/>
      <c r="C129"/>
      <c r="D129" s="40"/>
      <c r="F129" s="39"/>
    </row>
    <row r="130" spans="1:7" x14ac:dyDescent="0.2">
      <c r="A130" s="21"/>
      <c r="B130" s="21"/>
      <c r="C130" s="63">
        <v>20462.36</v>
      </c>
      <c r="D130" s="40" t="s">
        <v>83</v>
      </c>
      <c r="F130" s="39" t="s">
        <v>122</v>
      </c>
    </row>
    <row r="131" spans="1:7" x14ac:dyDescent="0.2">
      <c r="F131" s="2"/>
    </row>
    <row r="132" spans="1:7" x14ac:dyDescent="0.2">
      <c r="F132" s="2"/>
    </row>
    <row r="133" spans="1:7" x14ac:dyDescent="0.2">
      <c r="F133" s="2"/>
    </row>
    <row r="134" spans="1:7" x14ac:dyDescent="0.2">
      <c r="A134" s="50">
        <v>512</v>
      </c>
      <c r="B134" s="50">
        <v>10100</v>
      </c>
      <c r="C134" s="50">
        <f>ROUNDUP(C153/9,)</f>
        <v>281</v>
      </c>
      <c r="D134" s="50" t="s">
        <v>9</v>
      </c>
      <c r="E134" s="50"/>
      <c r="F134" s="49" t="s">
        <v>79</v>
      </c>
      <c r="G134" s="1" t="s">
        <v>58</v>
      </c>
    </row>
    <row r="135" spans="1:7" x14ac:dyDescent="0.2">
      <c r="F135" s="2"/>
    </row>
    <row r="136" spans="1:7" ht="15" x14ac:dyDescent="0.25">
      <c r="A136" s="126"/>
      <c r="B136" s="217" t="s">
        <v>61</v>
      </c>
      <c r="C136" s="149">
        <v>2057.7800000000002</v>
      </c>
      <c r="D136" s="150" t="s">
        <v>11</v>
      </c>
      <c r="E136" s="150"/>
      <c r="F136" s="151" t="s">
        <v>158</v>
      </c>
    </row>
    <row r="137" spans="1:7" x14ac:dyDescent="0.2">
      <c r="A137" s="126"/>
      <c r="B137" s="218"/>
      <c r="C137" s="126"/>
      <c r="D137" s="126"/>
      <c r="E137" s="126"/>
      <c r="F137" s="139"/>
    </row>
    <row r="138" spans="1:7" ht="15" x14ac:dyDescent="0.25">
      <c r="A138" s="126"/>
      <c r="B138" s="218"/>
      <c r="C138" s="127">
        <v>2</v>
      </c>
      <c r="D138" s="126" t="s">
        <v>10</v>
      </c>
      <c r="E138" s="126"/>
      <c r="F138" s="139" t="s">
        <v>86</v>
      </c>
    </row>
    <row r="139" spans="1:7" ht="15" x14ac:dyDescent="0.25">
      <c r="A139" s="126"/>
      <c r="B139" s="218"/>
      <c r="C139" s="127">
        <v>0.83</v>
      </c>
      <c r="D139" s="126" t="s">
        <v>10</v>
      </c>
      <c r="E139" s="126"/>
      <c r="F139" s="139" t="s">
        <v>87</v>
      </c>
    </row>
    <row r="140" spans="1:7" ht="15" x14ac:dyDescent="0.25">
      <c r="A140" s="126"/>
      <c r="B140" s="218"/>
      <c r="C140" s="127">
        <v>0.5</v>
      </c>
      <c r="D140" s="128" t="s">
        <v>10</v>
      </c>
      <c r="E140" s="126"/>
      <c r="F140" s="129" t="s">
        <v>160</v>
      </c>
    </row>
    <row r="141" spans="1:7" ht="15" x14ac:dyDescent="0.25">
      <c r="A141" s="126"/>
      <c r="B141" s="218"/>
      <c r="C141" s="140">
        <f>C211</f>
        <v>67.7</v>
      </c>
      <c r="D141" s="128" t="s">
        <v>10</v>
      </c>
      <c r="E141" s="126"/>
      <c r="F141" s="129" t="s">
        <v>94</v>
      </c>
    </row>
    <row r="142" spans="1:7" x14ac:dyDescent="0.2">
      <c r="A142" s="126"/>
      <c r="B142" s="126"/>
      <c r="C142" s="150">
        <f>C141*(C139+C138+C140)</f>
        <v>225.441</v>
      </c>
      <c r="D142" s="150" t="s">
        <v>11</v>
      </c>
      <c r="E142" s="150"/>
      <c r="F142" s="151" t="s">
        <v>156</v>
      </c>
    </row>
    <row r="143" spans="1:7" x14ac:dyDescent="0.2">
      <c r="A143" s="126"/>
      <c r="B143" s="126"/>
      <c r="C143" s="126"/>
      <c r="D143" s="126"/>
      <c r="E143" s="126"/>
      <c r="F143" s="139"/>
    </row>
    <row r="144" spans="1:7" x14ac:dyDescent="0.2">
      <c r="A144" s="126"/>
      <c r="B144" s="126"/>
      <c r="C144" s="126"/>
      <c r="D144" s="126"/>
      <c r="E144" s="126"/>
      <c r="F144" s="139"/>
    </row>
    <row r="145" spans="1:7" ht="15" x14ac:dyDescent="0.25">
      <c r="A145" s="126"/>
      <c r="B145" s="217" t="s">
        <v>162</v>
      </c>
      <c r="C145" s="149">
        <v>160.37</v>
      </c>
      <c r="D145" s="150" t="s">
        <v>11</v>
      </c>
      <c r="E145" s="150"/>
      <c r="F145" s="151" t="s">
        <v>159</v>
      </c>
    </row>
    <row r="146" spans="1:7" x14ac:dyDescent="0.2">
      <c r="A146" s="126"/>
      <c r="B146" s="218"/>
      <c r="C146" s="126"/>
      <c r="D146" s="126"/>
      <c r="E146" s="126"/>
      <c r="F146" s="139"/>
    </row>
    <row r="147" spans="1:7" ht="15" x14ac:dyDescent="0.25">
      <c r="A147" s="126"/>
      <c r="B147" s="218"/>
      <c r="C147" s="127">
        <v>2</v>
      </c>
      <c r="D147" s="126" t="s">
        <v>10</v>
      </c>
      <c r="E147" s="126"/>
      <c r="F147" s="139" t="s">
        <v>86</v>
      </c>
    </row>
    <row r="148" spans="1:7" ht="15" x14ac:dyDescent="0.25">
      <c r="A148" s="126"/>
      <c r="B148" s="218"/>
      <c r="C148" s="127">
        <v>0.83</v>
      </c>
      <c r="D148" s="126" t="s">
        <v>10</v>
      </c>
      <c r="E148" s="126"/>
      <c r="F148" s="139" t="s">
        <v>87</v>
      </c>
    </row>
    <row r="149" spans="1:7" ht="15" x14ac:dyDescent="0.25">
      <c r="A149" s="126"/>
      <c r="B149" s="218"/>
      <c r="C149" s="127">
        <v>0</v>
      </c>
      <c r="D149" s="126" t="s">
        <v>10</v>
      </c>
      <c r="E149" s="126"/>
      <c r="F149" s="129" t="s">
        <v>161</v>
      </c>
    </row>
    <row r="150" spans="1:7" ht="15" x14ac:dyDescent="0.25">
      <c r="A150" s="126"/>
      <c r="B150" s="218"/>
      <c r="C150" s="127">
        <f>C212</f>
        <v>29.5</v>
      </c>
      <c r="D150" s="128" t="s">
        <v>10</v>
      </c>
      <c r="E150" s="126"/>
      <c r="F150" s="129" t="s">
        <v>94</v>
      </c>
    </row>
    <row r="151" spans="1:7" x14ac:dyDescent="0.2">
      <c r="A151" s="126"/>
      <c r="B151" s="126"/>
      <c r="C151" s="150">
        <f>C150*(C149+C148+C147)</f>
        <v>83.484999999999999</v>
      </c>
      <c r="D151" s="150" t="s">
        <v>11</v>
      </c>
      <c r="E151" s="150"/>
      <c r="F151" s="151" t="s">
        <v>157</v>
      </c>
    </row>
    <row r="152" spans="1:7" x14ac:dyDescent="0.2">
      <c r="A152" s="126"/>
      <c r="B152" s="126"/>
      <c r="C152" s="126"/>
      <c r="D152" s="126"/>
      <c r="E152" s="126"/>
      <c r="F152" s="139"/>
    </row>
    <row r="153" spans="1:7" x14ac:dyDescent="0.2">
      <c r="A153" s="126"/>
      <c r="B153" s="126"/>
      <c r="C153" s="150">
        <f>C136+C142+C145+C151</f>
        <v>2527.076</v>
      </c>
      <c r="D153" s="150" t="s">
        <v>11</v>
      </c>
      <c r="E153" s="150"/>
      <c r="F153" s="151" t="s">
        <v>88</v>
      </c>
    </row>
    <row r="154" spans="1:7" x14ac:dyDescent="0.2">
      <c r="F154" s="2"/>
    </row>
    <row r="155" spans="1:7" x14ac:dyDescent="0.2">
      <c r="A155" s="50">
        <v>840</v>
      </c>
      <c r="B155" s="50">
        <v>20001</v>
      </c>
      <c r="C155" s="50">
        <f>ROUNDUP(C157+C158,)</f>
        <v>2906</v>
      </c>
      <c r="D155" s="50" t="s">
        <v>11</v>
      </c>
      <c r="E155" s="50"/>
      <c r="F155" s="49" t="s">
        <v>67</v>
      </c>
      <c r="G155" s="1" t="s">
        <v>58</v>
      </c>
    </row>
    <row r="156" spans="1:7" x14ac:dyDescent="0.2">
      <c r="F156" s="2"/>
    </row>
    <row r="157" spans="1:7" s="21" customFormat="1" ht="15" x14ac:dyDescent="0.25">
      <c r="A157" s="126"/>
      <c r="B157" s="126"/>
      <c r="C157" s="127">
        <v>2471.0500000000002</v>
      </c>
      <c r="D157" s="131" t="s">
        <v>11</v>
      </c>
      <c r="E157" s="126"/>
      <c r="F157" s="129" t="s">
        <v>150</v>
      </c>
    </row>
    <row r="158" spans="1:7" s="21" customFormat="1" ht="15" x14ac:dyDescent="0.25">
      <c r="A158" s="126"/>
      <c r="B158" s="126"/>
      <c r="C158" s="127">
        <v>434.93</v>
      </c>
      <c r="D158" s="131"/>
      <c r="E158" s="126"/>
      <c r="F158" s="129" t="s">
        <v>149</v>
      </c>
    </row>
    <row r="159" spans="1:7" x14ac:dyDescent="0.2">
      <c r="D159" s="40"/>
      <c r="F159" s="39"/>
    </row>
    <row r="160" spans="1:7" x14ac:dyDescent="0.2">
      <c r="A160" s="50">
        <v>840</v>
      </c>
      <c r="B160" s="50">
        <v>21000</v>
      </c>
      <c r="C160" s="50">
        <f>ROUNDUP(C166/27,)</f>
        <v>1300</v>
      </c>
      <c r="D160" s="50" t="s">
        <v>6</v>
      </c>
      <c r="E160" s="50"/>
      <c r="F160" s="56" t="s">
        <v>68</v>
      </c>
      <c r="G160" s="1" t="s">
        <v>58</v>
      </c>
    </row>
    <row r="161" spans="1:7" x14ac:dyDescent="0.2">
      <c r="F161" s="2"/>
    </row>
    <row r="162" spans="1:7" ht="15" x14ac:dyDescent="0.25">
      <c r="A162" s="126"/>
      <c r="B162" s="126"/>
      <c r="C162" s="127">
        <v>518.08000000000004</v>
      </c>
      <c r="D162" s="128" t="s">
        <v>11</v>
      </c>
      <c r="E162" s="126"/>
      <c r="F162" s="153" t="s">
        <v>175</v>
      </c>
    </row>
    <row r="163" spans="1:7" ht="15" x14ac:dyDescent="0.25">
      <c r="A163" s="126"/>
      <c r="B163" s="126"/>
      <c r="C163" s="127">
        <v>67.7</v>
      </c>
      <c r="D163" s="128" t="s">
        <v>10</v>
      </c>
      <c r="E163" s="126"/>
      <c r="F163" s="129" t="s">
        <v>148</v>
      </c>
    </row>
    <row r="164" spans="1:7" ht="15" x14ac:dyDescent="0.25">
      <c r="A164" s="126"/>
      <c r="B164" s="126"/>
      <c r="C164" s="149">
        <f>C162*C163</f>
        <v>35074.016000000003</v>
      </c>
      <c r="D164" s="150" t="s">
        <v>83</v>
      </c>
      <c r="E164" s="150"/>
      <c r="F164" s="151" t="s">
        <v>174</v>
      </c>
    </row>
    <row r="165" spans="1:7" ht="15" x14ac:dyDescent="0.25">
      <c r="A165" s="126"/>
      <c r="B165" s="126"/>
      <c r="C165" s="127"/>
      <c r="D165" s="128"/>
      <c r="E165" s="126"/>
      <c r="F165" s="129"/>
    </row>
    <row r="166" spans="1:7" x14ac:dyDescent="0.2">
      <c r="A166" s="126"/>
      <c r="B166" s="126"/>
      <c r="C166" s="152">
        <f>C164</f>
        <v>35074.016000000003</v>
      </c>
      <c r="D166" s="150" t="s">
        <v>83</v>
      </c>
      <c r="E166" s="150"/>
      <c r="F166" s="151" t="s">
        <v>122</v>
      </c>
    </row>
    <row r="167" spans="1:7" x14ac:dyDescent="0.2">
      <c r="F167" s="2"/>
    </row>
    <row r="168" spans="1:7" x14ac:dyDescent="0.2">
      <c r="A168" s="50">
        <v>840</v>
      </c>
      <c r="B168" s="50">
        <v>22000</v>
      </c>
      <c r="C168" s="50">
        <f>ROUNDUP(C172/9,)</f>
        <v>315</v>
      </c>
      <c r="D168" s="50" t="s">
        <v>9</v>
      </c>
      <c r="E168" s="50"/>
      <c r="F168" s="56" t="s">
        <v>69</v>
      </c>
      <c r="G168" s="1" t="s">
        <v>58</v>
      </c>
    </row>
    <row r="169" spans="1:7" x14ac:dyDescent="0.2">
      <c r="F169" s="2"/>
    </row>
    <row r="170" spans="1:7" s="21" customFormat="1" x14ac:dyDescent="0.2">
      <c r="A170" s="126"/>
      <c r="B170" s="126"/>
      <c r="C170" s="126">
        <v>2736.86</v>
      </c>
      <c r="D170" s="126" t="s">
        <v>11</v>
      </c>
      <c r="E170" s="126"/>
      <c r="F170" s="129" t="s">
        <v>151</v>
      </c>
    </row>
    <row r="171" spans="1:7" s="21" customFormat="1" x14ac:dyDescent="0.2">
      <c r="A171" s="126"/>
      <c r="B171" s="126"/>
      <c r="C171" s="126">
        <f>1.33*C163</f>
        <v>90.041000000000011</v>
      </c>
      <c r="D171" s="126" t="s">
        <v>11</v>
      </c>
      <c r="E171" s="126"/>
      <c r="F171" s="129" t="s">
        <v>152</v>
      </c>
    </row>
    <row r="172" spans="1:7" s="21" customFormat="1" x14ac:dyDescent="0.2">
      <c r="A172" s="126"/>
      <c r="B172" s="126"/>
      <c r="C172" s="150">
        <f>C171+C170</f>
        <v>2826.9010000000003</v>
      </c>
      <c r="D172" s="150" t="s">
        <v>11</v>
      </c>
      <c r="E172" s="150"/>
      <c r="F172" s="151" t="s">
        <v>1</v>
      </c>
    </row>
    <row r="173" spans="1:7" x14ac:dyDescent="0.2">
      <c r="F173" s="2"/>
    </row>
    <row r="174" spans="1:7" x14ac:dyDescent="0.2">
      <c r="F174" s="2"/>
    </row>
    <row r="175" spans="1:7" x14ac:dyDescent="0.2">
      <c r="A175" s="50">
        <v>840</v>
      </c>
      <c r="B175" s="146">
        <v>23000</v>
      </c>
      <c r="C175" s="146">
        <f>ROUNDUP(C196/27,)</f>
        <v>2660</v>
      </c>
      <c r="D175" s="146" t="s">
        <v>6</v>
      </c>
      <c r="E175" s="146"/>
      <c r="F175" s="147" t="s">
        <v>70</v>
      </c>
      <c r="G175" s="1" t="s">
        <v>58</v>
      </c>
    </row>
    <row r="176" spans="1:7" x14ac:dyDescent="0.2">
      <c r="F176" s="2"/>
    </row>
    <row r="177" spans="1:7" ht="15" x14ac:dyDescent="0.25">
      <c r="A177" s="90"/>
      <c r="B177" s="141"/>
      <c r="C177" s="142">
        <f>(0+688.58)/2</f>
        <v>344.29</v>
      </c>
      <c r="D177" s="141" t="s">
        <v>11</v>
      </c>
      <c r="E177" s="141"/>
      <c r="F177" s="143" t="s">
        <v>123</v>
      </c>
      <c r="G177" s="215" t="s">
        <v>154</v>
      </c>
    </row>
    <row r="178" spans="1:7" ht="15" x14ac:dyDescent="0.25">
      <c r="A178" s="90"/>
      <c r="B178" s="141"/>
      <c r="C178" s="142">
        <v>28.18</v>
      </c>
      <c r="D178" s="141" t="s">
        <v>10</v>
      </c>
      <c r="E178" s="141"/>
      <c r="F178" s="143" t="s">
        <v>124</v>
      </c>
      <c r="G178" s="216"/>
    </row>
    <row r="179" spans="1:7" ht="15" x14ac:dyDescent="0.25">
      <c r="A179" s="90"/>
      <c r="B179" s="141"/>
      <c r="C179" s="142">
        <f>C177*C178</f>
        <v>9702.092200000001</v>
      </c>
      <c r="D179" s="141" t="s">
        <v>83</v>
      </c>
      <c r="E179" s="141"/>
      <c r="F179" s="143" t="s">
        <v>125</v>
      </c>
      <c r="G179" s="216"/>
    </row>
    <row r="180" spans="1:7" ht="15" x14ac:dyDescent="0.25">
      <c r="A180" s="90"/>
      <c r="B180" s="141"/>
      <c r="C180" s="142">
        <f>(688.58+473.31)/2</f>
        <v>580.94500000000005</v>
      </c>
      <c r="D180" s="141" t="s">
        <v>11</v>
      </c>
      <c r="E180" s="141"/>
      <c r="F180" s="143" t="s">
        <v>126</v>
      </c>
      <c r="G180" s="216"/>
    </row>
    <row r="181" spans="1:7" ht="15" x14ac:dyDescent="0.25">
      <c r="A181" s="90"/>
      <c r="B181" s="141"/>
      <c r="C181" s="142">
        <v>32.76</v>
      </c>
      <c r="D181" s="141" t="s">
        <v>10</v>
      </c>
      <c r="E181" s="141"/>
      <c r="F181" s="143" t="s">
        <v>127</v>
      </c>
      <c r="G181" s="216"/>
    </row>
    <row r="182" spans="1:7" ht="15" x14ac:dyDescent="0.25">
      <c r="A182" s="90"/>
      <c r="B182" s="141"/>
      <c r="C182" s="142">
        <f>C180*C181</f>
        <v>19031.7582</v>
      </c>
      <c r="D182" s="141" t="s">
        <v>83</v>
      </c>
      <c r="E182" s="141"/>
      <c r="F182" s="143" t="s">
        <v>128</v>
      </c>
      <c r="G182" s="216"/>
    </row>
    <row r="183" spans="1:7" ht="15" x14ac:dyDescent="0.25">
      <c r="A183" s="90"/>
      <c r="B183" s="141"/>
      <c r="C183" s="142">
        <f>(473.31+417.37)/2</f>
        <v>445.34000000000003</v>
      </c>
      <c r="D183" s="141" t="s">
        <v>11</v>
      </c>
      <c r="E183" s="141"/>
      <c r="F183" s="143" t="s">
        <v>110</v>
      </c>
      <c r="G183" s="216"/>
    </row>
    <row r="184" spans="1:7" ht="15" x14ac:dyDescent="0.25">
      <c r="A184" s="90"/>
      <c r="B184" s="141"/>
      <c r="C184" s="142">
        <v>50</v>
      </c>
      <c r="D184" s="141" t="s">
        <v>10</v>
      </c>
      <c r="E184" s="141"/>
      <c r="F184" s="143" t="s">
        <v>111</v>
      </c>
      <c r="G184" s="216"/>
    </row>
    <row r="185" spans="1:7" ht="15" x14ac:dyDescent="0.25">
      <c r="A185" s="90"/>
      <c r="B185" s="141"/>
      <c r="C185" s="144">
        <f>C183*C184</f>
        <v>22267</v>
      </c>
      <c r="D185" s="141" t="s">
        <v>83</v>
      </c>
      <c r="E185" s="141"/>
      <c r="F185" s="143" t="s">
        <v>112</v>
      </c>
      <c r="G185" s="216"/>
    </row>
    <row r="186" spans="1:7" ht="15" x14ac:dyDescent="0.25">
      <c r="A186" s="90"/>
      <c r="B186" s="141"/>
      <c r="C186" s="142">
        <f>(417.37+153.45)/2</f>
        <v>285.40999999999997</v>
      </c>
      <c r="D186" s="141" t="s">
        <v>11</v>
      </c>
      <c r="E186" s="141"/>
      <c r="F186" s="143" t="s">
        <v>113</v>
      </c>
      <c r="G186" s="216"/>
    </row>
    <row r="187" spans="1:7" ht="15" x14ac:dyDescent="0.25">
      <c r="A187" s="90"/>
      <c r="B187" s="141"/>
      <c r="C187" s="142">
        <v>50</v>
      </c>
      <c r="D187" s="141" t="s">
        <v>10</v>
      </c>
      <c r="E187" s="141"/>
      <c r="F187" s="143" t="s">
        <v>114</v>
      </c>
      <c r="G187" s="216"/>
    </row>
    <row r="188" spans="1:7" ht="15" x14ac:dyDescent="0.25">
      <c r="A188" s="90"/>
      <c r="B188" s="141"/>
      <c r="C188" s="142">
        <f>C186*C187</f>
        <v>14270.499999999998</v>
      </c>
      <c r="D188" s="141" t="s">
        <v>83</v>
      </c>
      <c r="E188" s="141"/>
      <c r="F188" s="143" t="s">
        <v>115</v>
      </c>
      <c r="G188" s="216"/>
    </row>
    <row r="189" spans="1:7" ht="15" x14ac:dyDescent="0.25">
      <c r="A189" s="90"/>
      <c r="B189" s="141"/>
      <c r="C189" s="142">
        <f>(153.45+76.718)/2</f>
        <v>115.084</v>
      </c>
      <c r="D189" s="141" t="s">
        <v>11</v>
      </c>
      <c r="E189" s="141"/>
      <c r="F189" s="143" t="s">
        <v>116</v>
      </c>
      <c r="G189" s="216"/>
    </row>
    <row r="190" spans="1:7" ht="15" x14ac:dyDescent="0.25">
      <c r="A190" s="90"/>
      <c r="B190" s="141"/>
      <c r="C190" s="142">
        <v>50</v>
      </c>
      <c r="D190" s="141" t="s">
        <v>10</v>
      </c>
      <c r="E190" s="141"/>
      <c r="F190" s="143" t="s">
        <v>117</v>
      </c>
      <c r="G190" s="216"/>
    </row>
    <row r="191" spans="1:7" ht="15" x14ac:dyDescent="0.25">
      <c r="A191" s="90"/>
      <c r="B191" s="141"/>
      <c r="C191" s="142">
        <f>C189*C190</f>
        <v>5754.2</v>
      </c>
      <c r="D191" s="141" t="s">
        <v>83</v>
      </c>
      <c r="E191" s="141"/>
      <c r="F191" s="143" t="s">
        <v>118</v>
      </c>
      <c r="G191" s="216"/>
    </row>
    <row r="192" spans="1:7" ht="15" x14ac:dyDescent="0.25">
      <c r="A192" s="90"/>
      <c r="B192" s="141"/>
      <c r="C192" s="142">
        <f>(76.718+76.718)/2</f>
        <v>76.718000000000004</v>
      </c>
      <c r="D192" s="141" t="s">
        <v>11</v>
      </c>
      <c r="E192" s="141"/>
      <c r="F192" s="143" t="s">
        <v>120</v>
      </c>
      <c r="G192" s="216"/>
    </row>
    <row r="193" spans="1:7" ht="15" x14ac:dyDescent="0.25">
      <c r="A193" s="90"/>
      <c r="B193" s="141"/>
      <c r="C193" s="142">
        <v>10.08</v>
      </c>
      <c r="D193" s="141" t="s">
        <v>10</v>
      </c>
      <c r="E193" s="141"/>
      <c r="F193" s="143" t="s">
        <v>119</v>
      </c>
      <c r="G193" s="216"/>
    </row>
    <row r="194" spans="1:7" ht="15" x14ac:dyDescent="0.25">
      <c r="A194" s="90"/>
      <c r="B194" s="141"/>
      <c r="C194" s="142">
        <f>C192*C193</f>
        <v>773.31744000000003</v>
      </c>
      <c r="D194" s="141" t="s">
        <v>83</v>
      </c>
      <c r="E194" s="141"/>
      <c r="F194" s="143" t="s">
        <v>121</v>
      </c>
      <c r="G194" s="216"/>
    </row>
    <row r="195" spans="1:7" ht="15" x14ac:dyDescent="0.25">
      <c r="A195" s="90"/>
      <c r="B195" s="141"/>
      <c r="C195" s="142"/>
      <c r="D195" s="141"/>
      <c r="E195" s="141"/>
      <c r="F195" s="143"/>
      <c r="G195" s="216"/>
    </row>
    <row r="196" spans="1:7" x14ac:dyDescent="0.2">
      <c r="A196" s="90"/>
      <c r="B196" s="141"/>
      <c r="C196" s="145">
        <f>C179+C182+C185+C188+C191+C194</f>
        <v>71798.867840000006</v>
      </c>
      <c r="D196" s="141" t="s">
        <v>83</v>
      </c>
      <c r="E196" s="141"/>
      <c r="F196" s="143" t="s">
        <v>85</v>
      </c>
      <c r="G196" s="216"/>
    </row>
    <row r="197" spans="1:7" x14ac:dyDescent="0.2">
      <c r="A197" s="90"/>
      <c r="B197" s="90"/>
      <c r="C197" s="90"/>
      <c r="D197" s="90"/>
      <c r="E197" s="90"/>
      <c r="F197" s="96"/>
    </row>
    <row r="198" spans="1:7" x14ac:dyDescent="0.2">
      <c r="A198" s="70">
        <v>840</v>
      </c>
      <c r="B198" s="70">
        <v>25010</v>
      </c>
      <c r="C198" s="70">
        <f>ROUNDUP(C203,)</f>
        <v>506</v>
      </c>
      <c r="D198" s="70" t="s">
        <v>10</v>
      </c>
      <c r="E198" s="70"/>
      <c r="F198" s="71" t="s">
        <v>71</v>
      </c>
      <c r="G198" s="1" t="s">
        <v>58</v>
      </c>
    </row>
    <row r="199" spans="1:7" x14ac:dyDescent="0.2">
      <c r="A199" s="72"/>
      <c r="B199" s="72"/>
      <c r="C199" s="72"/>
      <c r="D199" s="72"/>
      <c r="E199" s="72"/>
      <c r="F199" s="73"/>
      <c r="G199" s="215" t="s">
        <v>153</v>
      </c>
    </row>
    <row r="200" spans="1:7" s="21" customFormat="1" ht="15" x14ac:dyDescent="0.25">
      <c r="A200" s="132"/>
      <c r="B200" s="132"/>
      <c r="C200" s="133">
        <v>481</v>
      </c>
      <c r="D200" s="132" t="s">
        <v>10</v>
      </c>
      <c r="E200" s="132"/>
      <c r="F200" s="134" t="s">
        <v>90</v>
      </c>
      <c r="G200" s="216"/>
    </row>
    <row r="201" spans="1:7" s="21" customFormat="1" ht="15" x14ac:dyDescent="0.25">
      <c r="A201" s="132"/>
      <c r="B201" s="132"/>
      <c r="C201" s="133">
        <v>25</v>
      </c>
      <c r="D201" s="132" t="s">
        <v>10</v>
      </c>
      <c r="E201" s="132"/>
      <c r="F201" s="134" t="s">
        <v>95</v>
      </c>
      <c r="G201" s="216"/>
    </row>
    <row r="202" spans="1:7" s="21" customFormat="1" x14ac:dyDescent="0.2">
      <c r="A202" s="132"/>
      <c r="B202" s="132"/>
      <c r="C202" s="132"/>
      <c r="D202" s="132"/>
      <c r="E202" s="132"/>
      <c r="F202" s="134"/>
      <c r="G202" s="216"/>
    </row>
    <row r="203" spans="1:7" s="21" customFormat="1" x14ac:dyDescent="0.2">
      <c r="A203" s="132"/>
      <c r="B203" s="132"/>
      <c r="C203" s="132">
        <f>C201+C200</f>
        <v>506</v>
      </c>
      <c r="D203" s="132" t="s">
        <v>10</v>
      </c>
      <c r="E203" s="132"/>
      <c r="F203" s="134" t="s">
        <v>91</v>
      </c>
      <c r="G203" s="216"/>
    </row>
    <row r="204" spans="1:7" x14ac:dyDescent="0.2">
      <c r="F204" s="2"/>
    </row>
    <row r="205" spans="1:7" x14ac:dyDescent="0.2">
      <c r="A205" s="70">
        <v>840</v>
      </c>
      <c r="B205" s="70">
        <v>25020</v>
      </c>
      <c r="C205" s="70">
        <v>0</v>
      </c>
      <c r="D205" s="70" t="s">
        <v>10</v>
      </c>
      <c r="E205" s="70"/>
      <c r="F205" s="71" t="s">
        <v>72</v>
      </c>
    </row>
    <row r="206" spans="1:7" x14ac:dyDescent="0.2">
      <c r="A206" s="72"/>
      <c r="B206" s="72"/>
      <c r="C206" s="72"/>
      <c r="D206" s="72"/>
      <c r="E206" s="72"/>
      <c r="F206" s="73"/>
    </row>
    <row r="207" spans="1:7" x14ac:dyDescent="0.2">
      <c r="A207" s="72"/>
      <c r="B207" s="72"/>
      <c r="C207" s="72">
        <v>0</v>
      </c>
      <c r="D207" s="72" t="s">
        <v>10</v>
      </c>
      <c r="E207" s="72"/>
      <c r="F207" s="73" t="s">
        <v>89</v>
      </c>
    </row>
    <row r="208" spans="1:7" x14ac:dyDescent="0.2">
      <c r="F208" s="2"/>
    </row>
    <row r="209" spans="1:7" x14ac:dyDescent="0.2">
      <c r="A209" s="57">
        <v>840</v>
      </c>
      <c r="B209" s="57">
        <v>26000</v>
      </c>
      <c r="C209" s="57">
        <f>C211+C212</f>
        <v>97.2</v>
      </c>
      <c r="D209" s="53" t="s">
        <v>10</v>
      </c>
      <c r="E209" s="58"/>
      <c r="F209" s="49" t="s">
        <v>73</v>
      </c>
      <c r="G209" s="1" t="s">
        <v>58</v>
      </c>
    </row>
    <row r="210" spans="1:7" x14ac:dyDescent="0.2">
      <c r="F210" s="2"/>
    </row>
    <row r="211" spans="1:7" s="21" customFormat="1" ht="15" x14ac:dyDescent="0.25">
      <c r="B211" s="126"/>
      <c r="C211" s="127">
        <v>67.7</v>
      </c>
      <c r="D211" s="126" t="s">
        <v>10</v>
      </c>
      <c r="E211" s="126"/>
      <c r="F211" s="129" t="s">
        <v>147</v>
      </c>
    </row>
    <row r="212" spans="1:7" s="21" customFormat="1" ht="15" x14ac:dyDescent="0.25">
      <c r="B212" s="126"/>
      <c r="C212" s="127">
        <v>29.5</v>
      </c>
      <c r="D212" s="126" t="s">
        <v>10</v>
      </c>
      <c r="E212" s="126"/>
      <c r="F212" s="129" t="s">
        <v>146</v>
      </c>
    </row>
    <row r="213" spans="1:7" x14ac:dyDescent="0.2">
      <c r="F213" s="2"/>
    </row>
    <row r="214" spans="1:7" x14ac:dyDescent="0.2">
      <c r="A214" s="57">
        <v>840</v>
      </c>
      <c r="B214" s="57">
        <v>26050</v>
      </c>
      <c r="C214" s="57">
        <f>ROUNDUP(C216+C217,)</f>
        <v>2665</v>
      </c>
      <c r="D214" s="53" t="s">
        <v>11</v>
      </c>
      <c r="E214" s="58"/>
      <c r="F214" s="49" t="s">
        <v>77</v>
      </c>
      <c r="G214" s="1" t="s">
        <v>58</v>
      </c>
    </row>
    <row r="215" spans="1:7" x14ac:dyDescent="0.2">
      <c r="F215" s="2"/>
    </row>
    <row r="216" spans="1:7" s="21" customFormat="1" ht="15" x14ac:dyDescent="0.25">
      <c r="A216" s="90"/>
      <c r="B216" s="126"/>
      <c r="C216" s="127">
        <v>2288.61</v>
      </c>
      <c r="D216" s="128" t="s">
        <v>11</v>
      </c>
      <c r="E216" s="126"/>
      <c r="F216" s="129" t="s">
        <v>165</v>
      </c>
    </row>
    <row r="217" spans="1:7" s="21" customFormat="1" ht="15" x14ac:dyDescent="0.25">
      <c r="A217" s="90"/>
      <c r="B217" s="126"/>
      <c r="C217" s="127">
        <v>375.96</v>
      </c>
      <c r="D217" s="128" t="s">
        <v>11</v>
      </c>
      <c r="E217" s="126"/>
      <c r="F217" s="129" t="s">
        <v>166</v>
      </c>
    </row>
    <row r="218" spans="1:7" x14ac:dyDescent="0.2">
      <c r="F218" s="2"/>
    </row>
    <row r="219" spans="1:7" x14ac:dyDescent="0.2">
      <c r="A219" s="57">
        <v>511</v>
      </c>
      <c r="B219" s="53" t="s">
        <v>141</v>
      </c>
      <c r="C219" s="57">
        <f>ROUNDUP(C223/27,)</f>
        <v>87</v>
      </c>
      <c r="D219" s="53" t="s">
        <v>6</v>
      </c>
      <c r="E219" s="58"/>
      <c r="F219" s="106" t="s">
        <v>96</v>
      </c>
      <c r="G219" s="1" t="s">
        <v>58</v>
      </c>
    </row>
    <row r="220" spans="1:7" x14ac:dyDescent="0.2">
      <c r="F220" s="2"/>
    </row>
    <row r="221" spans="1:7" ht="15" x14ac:dyDescent="0.25">
      <c r="A221" s="21"/>
      <c r="B221" s="21"/>
      <c r="C221" s="84">
        <f>Quants!C125</f>
        <v>4675</v>
      </c>
      <c r="D221" s="40" t="s">
        <v>11</v>
      </c>
      <c r="F221" s="39" t="s">
        <v>132</v>
      </c>
    </row>
    <row r="222" spans="1:7" ht="15" x14ac:dyDescent="0.25">
      <c r="A222" s="21"/>
      <c r="B222" s="21"/>
      <c r="C222" s="91">
        <v>0.5</v>
      </c>
      <c r="D222" s="40" t="s">
        <v>10</v>
      </c>
      <c r="F222" s="39" t="s">
        <v>135</v>
      </c>
    </row>
    <row r="223" spans="1:7" ht="15" x14ac:dyDescent="0.25">
      <c r="A223" s="21"/>
      <c r="B223" s="21"/>
      <c r="C223" s="92">
        <f>C221*C222</f>
        <v>2337.5</v>
      </c>
      <c r="D223" s="40" t="s">
        <v>83</v>
      </c>
      <c r="F223" s="39" t="s">
        <v>84</v>
      </c>
    </row>
    <row r="224" spans="1:7" x14ac:dyDescent="0.2">
      <c r="A224" s="21"/>
      <c r="B224" s="21"/>
      <c r="C224" s="21"/>
      <c r="D224" s="21"/>
      <c r="E224" s="21"/>
      <c r="F224" s="23"/>
    </row>
    <row r="226" spans="1:7" x14ac:dyDescent="0.2">
      <c r="A226" s="74">
        <v>516</v>
      </c>
      <c r="B226" s="74">
        <v>13200</v>
      </c>
      <c r="C226" s="57">
        <f>ROUNDUP(C231,)</f>
        <v>68</v>
      </c>
      <c r="D226" s="74" t="s">
        <v>11</v>
      </c>
      <c r="E226" s="75"/>
      <c r="F226" s="76" t="s">
        <v>97</v>
      </c>
      <c r="G226" s="1" t="s">
        <v>58</v>
      </c>
    </row>
    <row r="228" spans="1:7" ht="15" x14ac:dyDescent="0.25">
      <c r="A228" s="126"/>
      <c r="B228" s="126"/>
      <c r="C228" s="127">
        <f>C211*2</f>
        <v>135.4</v>
      </c>
      <c r="D228" s="135" t="s">
        <v>10</v>
      </c>
      <c r="E228" s="136"/>
      <c r="F228" s="137" t="s">
        <v>101</v>
      </c>
    </row>
    <row r="229" spans="1:7" ht="15" x14ac:dyDescent="0.25">
      <c r="A229" s="126"/>
      <c r="B229" s="126"/>
      <c r="C229" s="127">
        <v>0.5</v>
      </c>
      <c r="D229" s="135" t="s">
        <v>10</v>
      </c>
      <c r="E229" s="136"/>
      <c r="F229" s="137" t="s">
        <v>99</v>
      </c>
    </row>
    <row r="230" spans="1:7" ht="15" x14ac:dyDescent="0.25">
      <c r="A230" s="126"/>
      <c r="B230" s="126"/>
      <c r="C230" s="127"/>
      <c r="D230" s="135"/>
      <c r="E230" s="136"/>
      <c r="F230" s="137"/>
    </row>
    <row r="231" spans="1:7" ht="15" x14ac:dyDescent="0.25">
      <c r="A231" s="126"/>
      <c r="B231" s="126"/>
      <c r="C231" s="127">
        <f>C228*C229</f>
        <v>67.7</v>
      </c>
      <c r="D231" s="135" t="s">
        <v>11</v>
      </c>
      <c r="E231" s="136"/>
      <c r="F231" s="137" t="s">
        <v>100</v>
      </c>
    </row>
    <row r="233" spans="1:7" x14ac:dyDescent="0.2">
      <c r="A233" s="78">
        <v>516</v>
      </c>
      <c r="B233" s="78">
        <v>13900</v>
      </c>
      <c r="C233" s="57">
        <f>ROUNDUP(C238,)</f>
        <v>59</v>
      </c>
      <c r="D233" s="78" t="s">
        <v>11</v>
      </c>
      <c r="E233" s="79"/>
      <c r="F233" s="77" t="s">
        <v>98</v>
      </c>
      <c r="G233" s="1" t="s">
        <v>58</v>
      </c>
    </row>
    <row r="235" spans="1:7" ht="15" x14ac:dyDescent="0.25">
      <c r="A235" s="126"/>
      <c r="B235" s="126"/>
      <c r="C235" s="127">
        <f>C212</f>
        <v>29.5</v>
      </c>
      <c r="D235" s="135" t="s">
        <v>10</v>
      </c>
      <c r="E235" s="136"/>
      <c r="F235" s="137" t="s">
        <v>155</v>
      </c>
    </row>
    <row r="236" spans="1:7" ht="15" x14ac:dyDescent="0.25">
      <c r="A236" s="126"/>
      <c r="B236" s="126"/>
      <c r="C236" s="127">
        <v>2</v>
      </c>
      <c r="D236" s="135" t="s">
        <v>10</v>
      </c>
      <c r="E236" s="136"/>
      <c r="F236" s="137" t="s">
        <v>99</v>
      </c>
    </row>
    <row r="237" spans="1:7" x14ac:dyDescent="0.2">
      <c r="A237" s="126"/>
      <c r="B237" s="126"/>
      <c r="C237" s="126"/>
      <c r="D237" s="126"/>
      <c r="E237" s="126"/>
      <c r="F237" s="126"/>
    </row>
    <row r="238" spans="1:7" ht="15" x14ac:dyDescent="0.25">
      <c r="A238" s="126"/>
      <c r="B238" s="126"/>
      <c r="C238" s="127">
        <f>C235*C236</f>
        <v>59</v>
      </c>
      <c r="D238" s="135" t="s">
        <v>11</v>
      </c>
      <c r="E238" s="136"/>
      <c r="F238" s="138" t="s">
        <v>100</v>
      </c>
    </row>
    <row r="240" spans="1:7" ht="15" x14ac:dyDescent="0.25">
      <c r="C240" s="87"/>
      <c r="D240" s="83"/>
      <c r="E240" s="81"/>
      <c r="F240" s="82"/>
    </row>
    <row r="241" spans="3:6" x14ac:dyDescent="0.2">
      <c r="C241" s="88"/>
    </row>
    <row r="242" spans="3:6" ht="15" x14ac:dyDescent="0.25">
      <c r="C242" s="87"/>
      <c r="D242" s="83"/>
      <c r="E242" s="81"/>
      <c r="F242" s="80"/>
    </row>
  </sheetData>
  <mergeCells count="14">
    <mergeCell ref="B32:B37"/>
    <mergeCell ref="G199:G203"/>
    <mergeCell ref="G177:G196"/>
    <mergeCell ref="B145:B150"/>
    <mergeCell ref="B136:B141"/>
    <mergeCell ref="B39:B40"/>
    <mergeCell ref="G1:G4"/>
    <mergeCell ref="A3:A4"/>
    <mergeCell ref="B3:B4"/>
    <mergeCell ref="C3:C4"/>
    <mergeCell ref="D3:D4"/>
    <mergeCell ref="E3:E4"/>
    <mergeCell ref="F3:F4"/>
    <mergeCell ref="B1:F2"/>
  </mergeCells>
  <hyperlinks>
    <hyperlink ref="F162" r:id="rId1" display="AREA FROM 89464BF001_I70WB (EXCAVATION WITHIN LIMITS OF WALL)"/>
  </hyperlinks>
  <pageMargins left="0.75" right="0.75" top="1" bottom="1" header="0.5" footer="0.5"/>
  <pageSetup paperSize="17" scale="60" orientation="landscape" r:id="rId2"/>
  <headerFooter alignWithMargins="0"/>
  <drawing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AUTOTABLE</vt:lpstr>
      <vt:lpstr>Quants</vt:lpstr>
      <vt:lpstr>VOID</vt:lpstr>
      <vt:lpstr>E7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Grouped SPL Estimate</dc:title>
  <dc:creator>Meet Shah</dc:creator>
  <cp:lastModifiedBy>Meet Shah</cp:lastModifiedBy>
  <cp:lastPrinted>2021-08-31T19:46:09Z</cp:lastPrinted>
  <dcterms:created xsi:type="dcterms:W3CDTF">2007-01-18T14:43:23Z</dcterms:created>
  <dcterms:modified xsi:type="dcterms:W3CDTF">2023-02-28T15:50:53Z</dcterms:modified>
</cp:coreProperties>
</file>